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Лист1!$A$1:$P$249</definedName>
  </definedNames>
  <calcPr calcId="124519"/>
</workbook>
</file>

<file path=xl/calcChain.xml><?xml version="1.0" encoding="utf-8"?>
<calcChain xmlns="http://schemas.openxmlformats.org/spreadsheetml/2006/main">
  <c r="O236" i="1"/>
  <c r="N236"/>
  <c r="M236"/>
  <c r="L236"/>
  <c r="K236"/>
  <c r="J236"/>
  <c r="I236"/>
  <c r="H236"/>
  <c r="G236"/>
  <c r="F236"/>
  <c r="E236"/>
  <c r="D236"/>
  <c r="O232"/>
  <c r="N232"/>
  <c r="M232"/>
  <c r="L232"/>
  <c r="K232"/>
  <c r="J232"/>
  <c r="I232"/>
  <c r="H232"/>
  <c r="G232"/>
  <c r="F232"/>
  <c r="E232"/>
  <c r="D232"/>
  <c r="O231"/>
  <c r="N231"/>
  <c r="M231"/>
  <c r="L231"/>
  <c r="K231"/>
  <c r="J231"/>
  <c r="I231"/>
  <c r="H231"/>
  <c r="G231"/>
  <c r="F231"/>
  <c r="E231"/>
  <c r="D231"/>
  <c r="O229"/>
  <c r="N229"/>
  <c r="M229"/>
  <c r="L229"/>
  <c r="K229"/>
  <c r="J229"/>
  <c r="I229"/>
  <c r="H229"/>
  <c r="G229"/>
  <c r="F229"/>
  <c r="E229"/>
  <c r="D229"/>
  <c r="O210"/>
  <c r="N210"/>
  <c r="M210"/>
  <c r="L210"/>
  <c r="K210"/>
  <c r="J210"/>
  <c r="I210"/>
  <c r="H210"/>
  <c r="G210"/>
  <c r="F210"/>
  <c r="E210"/>
  <c r="D210"/>
  <c r="O207"/>
  <c r="N207"/>
  <c r="M207"/>
  <c r="L207"/>
  <c r="K207"/>
  <c r="J207"/>
  <c r="I207"/>
  <c r="H207"/>
  <c r="G207"/>
  <c r="F207"/>
  <c r="E207"/>
  <c r="D207"/>
  <c r="O186"/>
  <c r="N186"/>
  <c r="M186"/>
  <c r="L186"/>
  <c r="K186"/>
  <c r="J186"/>
  <c r="I186"/>
  <c r="H186"/>
  <c r="G186"/>
  <c r="F186"/>
  <c r="E186"/>
  <c r="D186"/>
  <c r="O183"/>
  <c r="N183"/>
  <c r="M183"/>
  <c r="L183"/>
  <c r="K183"/>
  <c r="J183"/>
  <c r="I183"/>
  <c r="H183"/>
  <c r="G183"/>
  <c r="F183"/>
  <c r="E183"/>
  <c r="D183"/>
  <c r="O182"/>
  <c r="N182"/>
  <c r="M182"/>
  <c r="L182"/>
  <c r="K182"/>
  <c r="J182"/>
  <c r="I182"/>
  <c r="H182"/>
  <c r="G182"/>
  <c r="F182"/>
  <c r="E182"/>
  <c r="D182"/>
  <c r="O181"/>
  <c r="N181"/>
  <c r="M181"/>
  <c r="L181"/>
  <c r="K181"/>
  <c r="J181"/>
  <c r="I181"/>
  <c r="H181"/>
  <c r="G181"/>
  <c r="F181"/>
  <c r="E181"/>
  <c r="D181"/>
  <c r="O179"/>
  <c r="N179"/>
  <c r="M179"/>
  <c r="L179"/>
  <c r="K179"/>
  <c r="J179"/>
  <c r="I179"/>
  <c r="H179"/>
  <c r="G179"/>
  <c r="F179"/>
  <c r="E179"/>
  <c r="D179"/>
  <c r="O167"/>
  <c r="N167"/>
  <c r="M167"/>
  <c r="L167"/>
  <c r="K167"/>
  <c r="J167"/>
  <c r="I167"/>
  <c r="H167"/>
  <c r="G167"/>
  <c r="F167"/>
  <c r="E167"/>
  <c r="D167"/>
  <c r="O162"/>
  <c r="N162"/>
  <c r="M162"/>
  <c r="L162"/>
  <c r="K162"/>
  <c r="J162"/>
  <c r="I162"/>
  <c r="H162"/>
  <c r="G162"/>
  <c r="F162"/>
  <c r="E162"/>
  <c r="D162"/>
  <c r="O158"/>
  <c r="N158"/>
  <c r="M158"/>
  <c r="L158"/>
  <c r="K158"/>
  <c r="J158"/>
  <c r="I158"/>
  <c r="H158"/>
  <c r="G158"/>
  <c r="F158"/>
  <c r="E158"/>
  <c r="D158"/>
  <c r="O157"/>
  <c r="N157"/>
  <c r="M157"/>
  <c r="L157"/>
  <c r="K157"/>
  <c r="J157"/>
  <c r="I157"/>
  <c r="H157"/>
  <c r="G157"/>
  <c r="F157"/>
  <c r="E157"/>
  <c r="D157"/>
  <c r="O155"/>
  <c r="N155"/>
  <c r="M155"/>
  <c r="L155"/>
  <c r="K155"/>
  <c r="J155"/>
  <c r="I155"/>
  <c r="H155"/>
  <c r="G155"/>
  <c r="F155"/>
  <c r="E155"/>
  <c r="D155"/>
  <c r="D160"/>
  <c r="E160"/>
  <c r="F160"/>
  <c r="G160"/>
  <c r="H160"/>
  <c r="I160"/>
  <c r="J160"/>
  <c r="K160"/>
  <c r="L160"/>
  <c r="M160"/>
  <c r="N160"/>
  <c r="O160"/>
  <c r="O137"/>
  <c r="N137"/>
  <c r="M137"/>
  <c r="L137"/>
  <c r="K137"/>
  <c r="J137"/>
  <c r="I137"/>
  <c r="H137"/>
  <c r="G137"/>
  <c r="F137"/>
  <c r="E137"/>
  <c r="D137"/>
  <c r="O133"/>
  <c r="N133"/>
  <c r="M133"/>
  <c r="L133"/>
  <c r="K133"/>
  <c r="J133"/>
  <c r="I133"/>
  <c r="H133"/>
  <c r="G133"/>
  <c r="F133"/>
  <c r="E133"/>
  <c r="D133"/>
  <c r="O132"/>
  <c r="N132"/>
  <c r="M132"/>
  <c r="L132"/>
  <c r="K132"/>
  <c r="J132"/>
  <c r="I132"/>
  <c r="H132"/>
  <c r="G132"/>
  <c r="F132"/>
  <c r="E132"/>
  <c r="D132"/>
  <c r="O130"/>
  <c r="N130"/>
  <c r="M130"/>
  <c r="L130"/>
  <c r="K130"/>
  <c r="J130"/>
  <c r="I130"/>
  <c r="H130"/>
  <c r="G130"/>
  <c r="F130"/>
  <c r="E130"/>
  <c r="D130"/>
  <c r="O114"/>
  <c r="N114"/>
  <c r="M114"/>
  <c r="L114"/>
  <c r="K114"/>
  <c r="J114"/>
  <c r="I114"/>
  <c r="H114"/>
  <c r="G114"/>
  <c r="F114"/>
  <c r="E114"/>
  <c r="D114"/>
  <c r="O110"/>
  <c r="N110"/>
  <c r="M110"/>
  <c r="L110"/>
  <c r="K110"/>
  <c r="J110"/>
  <c r="I110"/>
  <c r="H110"/>
  <c r="G110"/>
  <c r="F110"/>
  <c r="E110"/>
  <c r="D110"/>
  <c r="O109"/>
  <c r="N109"/>
  <c r="M109"/>
  <c r="L109"/>
  <c r="K109"/>
  <c r="J109"/>
  <c r="I109"/>
  <c r="H109"/>
  <c r="G109"/>
  <c r="F109"/>
  <c r="E109"/>
  <c r="D109"/>
  <c r="O107"/>
  <c r="N107"/>
  <c r="M107"/>
  <c r="L107"/>
  <c r="K107"/>
  <c r="J107"/>
  <c r="I107"/>
  <c r="H107"/>
  <c r="G107"/>
  <c r="F107"/>
  <c r="E107"/>
  <c r="D107"/>
  <c r="O96"/>
  <c r="N96"/>
  <c r="M96"/>
  <c r="L96"/>
  <c r="K96"/>
  <c r="J96"/>
  <c r="I96"/>
  <c r="H96"/>
  <c r="G96"/>
  <c r="F96"/>
  <c r="E96"/>
  <c r="D96"/>
  <c r="O89"/>
  <c r="N89"/>
  <c r="M89"/>
  <c r="L89"/>
  <c r="K89"/>
  <c r="J89"/>
  <c r="I89"/>
  <c r="H89"/>
  <c r="G89"/>
  <c r="F89"/>
  <c r="E89"/>
  <c r="D89"/>
  <c r="O85"/>
  <c r="N85"/>
  <c r="M85"/>
  <c r="L85"/>
  <c r="K85"/>
  <c r="J85"/>
  <c r="I85"/>
  <c r="H85"/>
  <c r="G85"/>
  <c r="F85"/>
  <c r="E85"/>
  <c r="D85"/>
  <c r="O83"/>
  <c r="N83"/>
  <c r="M83"/>
  <c r="L83"/>
  <c r="K83"/>
  <c r="J83"/>
  <c r="I83"/>
  <c r="H83"/>
  <c r="G83"/>
  <c r="F83"/>
  <c r="E83"/>
  <c r="D83"/>
  <c r="O65"/>
  <c r="N65"/>
  <c r="M65"/>
  <c r="L65"/>
  <c r="K65"/>
  <c r="J65"/>
  <c r="I65"/>
  <c r="H65"/>
  <c r="G65"/>
  <c r="F65"/>
  <c r="E65"/>
  <c r="D65"/>
  <c r="O42"/>
  <c r="N42"/>
  <c r="M42"/>
  <c r="L42"/>
  <c r="K42"/>
  <c r="J42"/>
  <c r="I42"/>
  <c r="H42"/>
  <c r="G42"/>
  <c r="F42"/>
  <c r="E42"/>
  <c r="D42"/>
  <c r="O16"/>
  <c r="N16"/>
  <c r="M16"/>
  <c r="L16"/>
  <c r="K16"/>
  <c r="J16"/>
  <c r="I16"/>
  <c r="H16"/>
  <c r="G16"/>
  <c r="F16"/>
  <c r="E16"/>
  <c r="D16"/>
  <c r="O241"/>
  <c r="N241"/>
  <c r="M241"/>
  <c r="L241"/>
  <c r="K241"/>
  <c r="J241"/>
  <c r="I241"/>
  <c r="H241"/>
  <c r="G241"/>
  <c r="F241"/>
  <c r="E241"/>
  <c r="D241"/>
  <c r="O240"/>
  <c r="N240"/>
  <c r="M240"/>
  <c r="L240"/>
  <c r="K240"/>
  <c r="J240"/>
  <c r="I240"/>
  <c r="H240"/>
  <c r="G240"/>
  <c r="F240"/>
  <c r="E240"/>
  <c r="D240"/>
  <c r="O238"/>
  <c r="N238"/>
  <c r="M238"/>
  <c r="L238"/>
  <c r="K238"/>
  <c r="J238"/>
  <c r="I238"/>
  <c r="H238"/>
  <c r="G238"/>
  <c r="F238"/>
  <c r="E238"/>
  <c r="D238"/>
  <c r="O242"/>
  <c r="N242"/>
  <c r="M242"/>
  <c r="L242"/>
  <c r="K242"/>
  <c r="J242"/>
  <c r="I242"/>
  <c r="H242"/>
  <c r="G242"/>
  <c r="F242"/>
  <c r="E242"/>
  <c r="D242"/>
  <c r="O234"/>
  <c r="O243" s="1"/>
  <c r="N234"/>
  <c r="N243" s="1"/>
  <c r="M234"/>
  <c r="M243" s="1"/>
  <c r="L234"/>
  <c r="K234"/>
  <c r="K243" s="1"/>
  <c r="J234"/>
  <c r="J243" s="1"/>
  <c r="I234"/>
  <c r="I243" s="1"/>
  <c r="H234"/>
  <c r="H243" s="1"/>
  <c r="G234"/>
  <c r="G243" s="1"/>
  <c r="F234"/>
  <c r="F243" s="1"/>
  <c r="E234"/>
  <c r="E243" s="1"/>
  <c r="D234"/>
  <c r="D243" s="1"/>
  <c r="O216"/>
  <c r="N216"/>
  <c r="M216"/>
  <c r="L216"/>
  <c r="K216"/>
  <c r="J216"/>
  <c r="I216"/>
  <c r="H216"/>
  <c r="G216"/>
  <c r="F216"/>
  <c r="E216"/>
  <c r="D216"/>
  <c r="O215"/>
  <c r="N215"/>
  <c r="M215"/>
  <c r="L215"/>
  <c r="K215"/>
  <c r="J215"/>
  <c r="I215"/>
  <c r="H215"/>
  <c r="G215"/>
  <c r="F215"/>
  <c r="E215"/>
  <c r="D215"/>
  <c r="O213"/>
  <c r="N213"/>
  <c r="M213"/>
  <c r="L213"/>
  <c r="K213"/>
  <c r="J213"/>
  <c r="I213"/>
  <c r="H213"/>
  <c r="G213"/>
  <c r="F213"/>
  <c r="E213"/>
  <c r="D213"/>
  <c r="O212"/>
  <c r="N212"/>
  <c r="M212"/>
  <c r="L212"/>
  <c r="K212"/>
  <c r="J212"/>
  <c r="I212"/>
  <c r="H212"/>
  <c r="G212"/>
  <c r="F212"/>
  <c r="E212"/>
  <c r="D212"/>
  <c r="O217"/>
  <c r="N217"/>
  <c r="M217"/>
  <c r="L217"/>
  <c r="K217"/>
  <c r="J217"/>
  <c r="I217"/>
  <c r="H217"/>
  <c r="G217"/>
  <c r="F217"/>
  <c r="E217"/>
  <c r="D217"/>
  <c r="O206"/>
  <c r="N206"/>
  <c r="M206"/>
  <c r="L206"/>
  <c r="K206"/>
  <c r="J206"/>
  <c r="I206"/>
  <c r="H206"/>
  <c r="G206"/>
  <c r="F206"/>
  <c r="E206"/>
  <c r="D206"/>
  <c r="O205"/>
  <c r="N205"/>
  <c r="M205"/>
  <c r="L205"/>
  <c r="K205"/>
  <c r="J205"/>
  <c r="I205"/>
  <c r="H205"/>
  <c r="G205"/>
  <c r="F205"/>
  <c r="E205"/>
  <c r="D205"/>
  <c r="O208"/>
  <c r="O218" s="1"/>
  <c r="N208"/>
  <c r="N218" s="1"/>
  <c r="M208"/>
  <c r="M218" s="1"/>
  <c r="L208"/>
  <c r="L218" s="1"/>
  <c r="K208"/>
  <c r="K218" s="1"/>
  <c r="J208"/>
  <c r="J218" s="1"/>
  <c r="I208"/>
  <c r="I218" s="1"/>
  <c r="H208"/>
  <c r="H218" s="1"/>
  <c r="G208"/>
  <c r="G218" s="1"/>
  <c r="F208"/>
  <c r="F218" s="1"/>
  <c r="E208"/>
  <c r="E218" s="1"/>
  <c r="D208"/>
  <c r="D218" s="1"/>
  <c r="O192"/>
  <c r="N192"/>
  <c r="M192"/>
  <c r="L192"/>
  <c r="K192"/>
  <c r="J192"/>
  <c r="I192"/>
  <c r="H192"/>
  <c r="G192"/>
  <c r="F192"/>
  <c r="E192"/>
  <c r="D192"/>
  <c r="O191"/>
  <c r="N191"/>
  <c r="M191"/>
  <c r="L191"/>
  <c r="K191"/>
  <c r="J191"/>
  <c r="I191"/>
  <c r="H191"/>
  <c r="G191"/>
  <c r="F191"/>
  <c r="E191"/>
  <c r="D191"/>
  <c r="O189"/>
  <c r="N189"/>
  <c r="M189"/>
  <c r="L189"/>
  <c r="K189"/>
  <c r="J189"/>
  <c r="I189"/>
  <c r="H189"/>
  <c r="G189"/>
  <c r="F189"/>
  <c r="E189"/>
  <c r="D189"/>
  <c r="O188"/>
  <c r="N188"/>
  <c r="M188"/>
  <c r="L188"/>
  <c r="K188"/>
  <c r="J188"/>
  <c r="I188"/>
  <c r="H188"/>
  <c r="G188"/>
  <c r="F188"/>
  <c r="E188"/>
  <c r="D188"/>
  <c r="O193"/>
  <c r="N193"/>
  <c r="M193"/>
  <c r="L193"/>
  <c r="K193"/>
  <c r="J193"/>
  <c r="I193"/>
  <c r="H193"/>
  <c r="G193"/>
  <c r="F193"/>
  <c r="E193"/>
  <c r="D193"/>
  <c r="O184"/>
  <c r="O194" s="1"/>
  <c r="N184"/>
  <c r="N194" s="1"/>
  <c r="M184"/>
  <c r="M194" s="1"/>
  <c r="L184"/>
  <c r="L194" s="1"/>
  <c r="K184"/>
  <c r="K194" s="1"/>
  <c r="J184"/>
  <c r="J194" s="1"/>
  <c r="I184"/>
  <c r="I194" s="1"/>
  <c r="H184"/>
  <c r="H194" s="1"/>
  <c r="G184"/>
  <c r="G194" s="1"/>
  <c r="F184"/>
  <c r="F194" s="1"/>
  <c r="E184"/>
  <c r="E194" s="1"/>
  <c r="D184"/>
  <c r="D194" s="1"/>
  <c r="O169"/>
  <c r="N169"/>
  <c r="M169"/>
  <c r="L169"/>
  <c r="K169"/>
  <c r="J169"/>
  <c r="I169"/>
  <c r="H169"/>
  <c r="G169"/>
  <c r="F169"/>
  <c r="E169"/>
  <c r="D169"/>
  <c r="O168"/>
  <c r="N168"/>
  <c r="M168"/>
  <c r="L168"/>
  <c r="K168"/>
  <c r="J168"/>
  <c r="I168"/>
  <c r="H168"/>
  <c r="G168"/>
  <c r="F168"/>
  <c r="E168"/>
  <c r="D168"/>
  <c r="O165"/>
  <c r="N165"/>
  <c r="M165"/>
  <c r="L165"/>
  <c r="K165"/>
  <c r="J165"/>
  <c r="I165"/>
  <c r="H165"/>
  <c r="G165"/>
  <c r="F165"/>
  <c r="E165"/>
  <c r="D165"/>
  <c r="O170"/>
  <c r="N170"/>
  <c r="M170"/>
  <c r="L170"/>
  <c r="K170"/>
  <c r="J170"/>
  <c r="I170"/>
  <c r="H170"/>
  <c r="G170"/>
  <c r="F170"/>
  <c r="E170"/>
  <c r="D170"/>
  <c r="O171"/>
  <c r="N171"/>
  <c r="M171"/>
  <c r="L171"/>
  <c r="K171"/>
  <c r="J171"/>
  <c r="I171"/>
  <c r="H171"/>
  <c r="G171"/>
  <c r="F171"/>
  <c r="E171"/>
  <c r="D171"/>
  <c r="O143"/>
  <c r="N143"/>
  <c r="M143"/>
  <c r="L143"/>
  <c r="K143"/>
  <c r="J143"/>
  <c r="I143"/>
  <c r="H143"/>
  <c r="G143"/>
  <c r="F143"/>
  <c r="E143"/>
  <c r="D143"/>
  <c r="O142"/>
  <c r="N142"/>
  <c r="M142"/>
  <c r="L142"/>
  <c r="K142"/>
  <c r="J142"/>
  <c r="I142"/>
  <c r="H142"/>
  <c r="G142"/>
  <c r="F142"/>
  <c r="E142"/>
  <c r="D142"/>
  <c r="O140"/>
  <c r="N140"/>
  <c r="M140"/>
  <c r="L140"/>
  <c r="K140"/>
  <c r="J140"/>
  <c r="I140"/>
  <c r="H140"/>
  <c r="G140"/>
  <c r="F140"/>
  <c r="E140"/>
  <c r="D140"/>
  <c r="O139"/>
  <c r="N139"/>
  <c r="N144" s="1"/>
  <c r="M139"/>
  <c r="L139"/>
  <c r="L144" s="1"/>
  <c r="K139"/>
  <c r="J139"/>
  <c r="J144" s="1"/>
  <c r="I139"/>
  <c r="H139"/>
  <c r="G139"/>
  <c r="F139"/>
  <c r="E139"/>
  <c r="D139"/>
  <c r="H144"/>
  <c r="F144"/>
  <c r="D144"/>
  <c r="O134"/>
  <c r="O135" s="1"/>
  <c r="N134"/>
  <c r="M134"/>
  <c r="M135" s="1"/>
  <c r="L134"/>
  <c r="K134"/>
  <c r="K135" s="1"/>
  <c r="J134"/>
  <c r="I134"/>
  <c r="I135" s="1"/>
  <c r="H134"/>
  <c r="G134"/>
  <c r="G135" s="1"/>
  <c r="F134"/>
  <c r="E134"/>
  <c r="E135" s="1"/>
  <c r="D134"/>
  <c r="O119"/>
  <c r="N119"/>
  <c r="M119"/>
  <c r="L119"/>
  <c r="K119"/>
  <c r="J119"/>
  <c r="I119"/>
  <c r="H119"/>
  <c r="G119"/>
  <c r="F119"/>
  <c r="E119"/>
  <c r="D119"/>
  <c r="O118"/>
  <c r="N118"/>
  <c r="M118"/>
  <c r="L118"/>
  <c r="K118"/>
  <c r="J118"/>
  <c r="I118"/>
  <c r="H118"/>
  <c r="G118"/>
  <c r="F118"/>
  <c r="E118"/>
  <c r="D118"/>
  <c r="O116"/>
  <c r="N116"/>
  <c r="M116"/>
  <c r="L116"/>
  <c r="K116"/>
  <c r="J116"/>
  <c r="I116"/>
  <c r="H116"/>
  <c r="G116"/>
  <c r="F116"/>
  <c r="E116"/>
  <c r="D116"/>
  <c r="O120"/>
  <c r="N120"/>
  <c r="M120"/>
  <c r="L120"/>
  <c r="K120"/>
  <c r="J120"/>
  <c r="I120"/>
  <c r="H120"/>
  <c r="G120"/>
  <c r="F120"/>
  <c r="E120"/>
  <c r="D120"/>
  <c r="O112"/>
  <c r="O121" s="1"/>
  <c r="N112"/>
  <c r="N121" s="1"/>
  <c r="M112"/>
  <c r="M121" s="1"/>
  <c r="L112"/>
  <c r="L121" s="1"/>
  <c r="K112"/>
  <c r="K121" s="1"/>
  <c r="J112"/>
  <c r="J121" s="1"/>
  <c r="I112"/>
  <c r="I121" s="1"/>
  <c r="H112"/>
  <c r="H121" s="1"/>
  <c r="G112"/>
  <c r="G121" s="1"/>
  <c r="F112"/>
  <c r="F121" s="1"/>
  <c r="E112"/>
  <c r="E121" s="1"/>
  <c r="D112"/>
  <c r="D121" s="1"/>
  <c r="O95"/>
  <c r="N95"/>
  <c r="M95"/>
  <c r="L95"/>
  <c r="K95"/>
  <c r="J95"/>
  <c r="I95"/>
  <c r="H95"/>
  <c r="G95"/>
  <c r="F95"/>
  <c r="E95"/>
  <c r="D95"/>
  <c r="O94"/>
  <c r="N94"/>
  <c r="M94"/>
  <c r="L94"/>
  <c r="K94"/>
  <c r="J94"/>
  <c r="I94"/>
  <c r="H94"/>
  <c r="G94"/>
  <c r="F94"/>
  <c r="E94"/>
  <c r="D94"/>
  <c r="O92"/>
  <c r="N92"/>
  <c r="M92"/>
  <c r="L92"/>
  <c r="K92"/>
  <c r="J92"/>
  <c r="I92"/>
  <c r="H92"/>
  <c r="G92"/>
  <c r="F92"/>
  <c r="E92"/>
  <c r="D92"/>
  <c r="N97"/>
  <c r="L97"/>
  <c r="J97"/>
  <c r="H97"/>
  <c r="F97"/>
  <c r="D97"/>
  <c r="O86"/>
  <c r="N86"/>
  <c r="M86"/>
  <c r="L86"/>
  <c r="K86"/>
  <c r="J86"/>
  <c r="I86"/>
  <c r="H86"/>
  <c r="G86"/>
  <c r="F86"/>
  <c r="E86"/>
  <c r="D86"/>
  <c r="O87"/>
  <c r="N87"/>
  <c r="M87"/>
  <c r="L87"/>
  <c r="L98" s="1"/>
  <c r="K87"/>
  <c r="J87"/>
  <c r="J98" s="1"/>
  <c r="I87"/>
  <c r="H87"/>
  <c r="H98" s="1"/>
  <c r="G87"/>
  <c r="F87"/>
  <c r="F98" s="1"/>
  <c r="E87"/>
  <c r="D87"/>
  <c r="D98" s="1"/>
  <c r="O71"/>
  <c r="N71"/>
  <c r="M71"/>
  <c r="L71"/>
  <c r="K71"/>
  <c r="J71"/>
  <c r="I71"/>
  <c r="H71"/>
  <c r="G71"/>
  <c r="F71"/>
  <c r="E71"/>
  <c r="D71"/>
  <c r="O70"/>
  <c r="N70"/>
  <c r="M70"/>
  <c r="L70"/>
  <c r="K70"/>
  <c r="J70"/>
  <c r="I70"/>
  <c r="H70"/>
  <c r="G70"/>
  <c r="F70"/>
  <c r="E70"/>
  <c r="D70"/>
  <c r="O68"/>
  <c r="N68"/>
  <c r="M68"/>
  <c r="L68"/>
  <c r="K68"/>
  <c r="J68"/>
  <c r="I68"/>
  <c r="H68"/>
  <c r="G68"/>
  <c r="F68"/>
  <c r="E68"/>
  <c r="D68"/>
  <c r="O67"/>
  <c r="N67"/>
  <c r="M67"/>
  <c r="L67"/>
  <c r="K67"/>
  <c r="J67"/>
  <c r="I67"/>
  <c r="H67"/>
  <c r="G67"/>
  <c r="F67"/>
  <c r="E67"/>
  <c r="D67"/>
  <c r="O72"/>
  <c r="N72"/>
  <c r="M72"/>
  <c r="L72"/>
  <c r="K72"/>
  <c r="J72"/>
  <c r="I72"/>
  <c r="H72"/>
  <c r="G72"/>
  <c r="F72"/>
  <c r="E72"/>
  <c r="D72"/>
  <c r="O62"/>
  <c r="N62"/>
  <c r="M62"/>
  <c r="L62"/>
  <c r="K62"/>
  <c r="J62"/>
  <c r="I62"/>
  <c r="H62"/>
  <c r="G62"/>
  <c r="F62"/>
  <c r="E62"/>
  <c r="D62"/>
  <c r="O61"/>
  <c r="N61"/>
  <c r="M61"/>
  <c r="L61"/>
  <c r="K61"/>
  <c r="J61"/>
  <c r="I61"/>
  <c r="H61"/>
  <c r="G61"/>
  <c r="F61"/>
  <c r="E61"/>
  <c r="D61"/>
  <c r="O60"/>
  <c r="N60"/>
  <c r="M60"/>
  <c r="L60"/>
  <c r="K60"/>
  <c r="J60"/>
  <c r="I60"/>
  <c r="H60"/>
  <c r="G60"/>
  <c r="F60"/>
  <c r="E60"/>
  <c r="D60"/>
  <c r="O58"/>
  <c r="O63" s="1"/>
  <c r="O73" s="1"/>
  <c r="N58"/>
  <c r="N63" s="1"/>
  <c r="N73" s="1"/>
  <c r="M58"/>
  <c r="M63" s="1"/>
  <c r="M73" s="1"/>
  <c r="L58"/>
  <c r="L63" s="1"/>
  <c r="L73" s="1"/>
  <c r="K58"/>
  <c r="K63" s="1"/>
  <c r="K73" s="1"/>
  <c r="J58"/>
  <c r="J63" s="1"/>
  <c r="J73" s="1"/>
  <c r="I58"/>
  <c r="I63" s="1"/>
  <c r="I73" s="1"/>
  <c r="H58"/>
  <c r="H63" s="1"/>
  <c r="H73" s="1"/>
  <c r="G58"/>
  <c r="G63" s="1"/>
  <c r="G73" s="1"/>
  <c r="F58"/>
  <c r="F63" s="1"/>
  <c r="F73" s="1"/>
  <c r="E58"/>
  <c r="E63" s="1"/>
  <c r="E73" s="1"/>
  <c r="D58"/>
  <c r="D63" s="1"/>
  <c r="D73" s="1"/>
  <c r="O48"/>
  <c r="N48"/>
  <c r="M48"/>
  <c r="L48"/>
  <c r="K48"/>
  <c r="J48"/>
  <c r="I48"/>
  <c r="H48"/>
  <c r="G48"/>
  <c r="F48"/>
  <c r="E48"/>
  <c r="D48"/>
  <c r="O47"/>
  <c r="N47"/>
  <c r="M47"/>
  <c r="L47"/>
  <c r="K47"/>
  <c r="J47"/>
  <c r="I47"/>
  <c r="H47"/>
  <c r="G47"/>
  <c r="F47"/>
  <c r="E47"/>
  <c r="D47"/>
  <c r="O45"/>
  <c r="N45"/>
  <c r="M45"/>
  <c r="L45"/>
  <c r="K45"/>
  <c r="J45"/>
  <c r="I45"/>
  <c r="H45"/>
  <c r="G45"/>
  <c r="F45"/>
  <c r="E45"/>
  <c r="D45"/>
  <c r="O44"/>
  <c r="N44"/>
  <c r="M44"/>
  <c r="L44"/>
  <c r="K44"/>
  <c r="J44"/>
  <c r="I44"/>
  <c r="H44"/>
  <c r="G44"/>
  <c r="F44"/>
  <c r="E44"/>
  <c r="D44"/>
  <c r="O49"/>
  <c r="N49"/>
  <c r="M49"/>
  <c r="L49"/>
  <c r="K49"/>
  <c r="J49"/>
  <c r="I49"/>
  <c r="H49"/>
  <c r="G49"/>
  <c r="F49"/>
  <c r="E49"/>
  <c r="D49"/>
  <c r="O39"/>
  <c r="N39"/>
  <c r="M39"/>
  <c r="L39"/>
  <c r="K39"/>
  <c r="J39"/>
  <c r="I39"/>
  <c r="H39"/>
  <c r="G39"/>
  <c r="F39"/>
  <c r="E39"/>
  <c r="D39"/>
  <c r="O38"/>
  <c r="N38"/>
  <c r="M38"/>
  <c r="L38"/>
  <c r="K38"/>
  <c r="J38"/>
  <c r="I38"/>
  <c r="H38"/>
  <c r="G38"/>
  <c r="F38"/>
  <c r="E38"/>
  <c r="D38"/>
  <c r="O37"/>
  <c r="O40" s="1"/>
  <c r="O50" s="1"/>
  <c r="N37"/>
  <c r="N40" s="1"/>
  <c r="N50" s="1"/>
  <c r="M37"/>
  <c r="M40" s="1"/>
  <c r="M50" s="1"/>
  <c r="L37"/>
  <c r="L40" s="1"/>
  <c r="L50" s="1"/>
  <c r="K37"/>
  <c r="K40" s="1"/>
  <c r="K50" s="1"/>
  <c r="J37"/>
  <c r="J40" s="1"/>
  <c r="J50" s="1"/>
  <c r="I37"/>
  <c r="I40" s="1"/>
  <c r="I50" s="1"/>
  <c r="H37"/>
  <c r="H40" s="1"/>
  <c r="H50" s="1"/>
  <c r="G37"/>
  <c r="G40" s="1"/>
  <c r="G50" s="1"/>
  <c r="F37"/>
  <c r="F40" s="1"/>
  <c r="F50" s="1"/>
  <c r="E37"/>
  <c r="E40" s="1"/>
  <c r="E50" s="1"/>
  <c r="D37"/>
  <c r="D40" s="1"/>
  <c r="D50" s="1"/>
  <c r="O35"/>
  <c r="N35"/>
  <c r="M35"/>
  <c r="L35"/>
  <c r="K35"/>
  <c r="J35"/>
  <c r="I35"/>
  <c r="H35"/>
  <c r="G35"/>
  <c r="F35"/>
  <c r="E35"/>
  <c r="D35"/>
  <c r="O22"/>
  <c r="N22"/>
  <c r="M22"/>
  <c r="L22"/>
  <c r="K22"/>
  <c r="J22"/>
  <c r="I22"/>
  <c r="H22"/>
  <c r="G22"/>
  <c r="F22"/>
  <c r="E22"/>
  <c r="D22"/>
  <c r="O21"/>
  <c r="N21"/>
  <c r="M21"/>
  <c r="L21"/>
  <c r="K21"/>
  <c r="J21"/>
  <c r="I21"/>
  <c r="H21"/>
  <c r="G21"/>
  <c r="F21"/>
  <c r="E21"/>
  <c r="D21"/>
  <c r="O19"/>
  <c r="N19"/>
  <c r="M19"/>
  <c r="L19"/>
  <c r="K19"/>
  <c r="J19"/>
  <c r="I19"/>
  <c r="H19"/>
  <c r="G19"/>
  <c r="F19"/>
  <c r="E19"/>
  <c r="D19"/>
  <c r="O18"/>
  <c r="O24" s="1"/>
  <c r="N18"/>
  <c r="N24" s="1"/>
  <c r="M18"/>
  <c r="M24" s="1"/>
  <c r="L18"/>
  <c r="L24" s="1"/>
  <c r="K18"/>
  <c r="K24" s="1"/>
  <c r="J18"/>
  <c r="J24" s="1"/>
  <c r="I18"/>
  <c r="I24" s="1"/>
  <c r="H18"/>
  <c r="H24" s="1"/>
  <c r="G18"/>
  <c r="G24" s="1"/>
  <c r="F18"/>
  <c r="F24" s="1"/>
  <c r="E18"/>
  <c r="E24" s="1"/>
  <c r="D18"/>
  <c r="D24" s="1"/>
  <c r="O13"/>
  <c r="N13"/>
  <c r="M13"/>
  <c r="L13"/>
  <c r="K13"/>
  <c r="J13"/>
  <c r="I13"/>
  <c r="H13"/>
  <c r="G13"/>
  <c r="F13"/>
  <c r="E13"/>
  <c r="D13"/>
  <c r="O12"/>
  <c r="N12"/>
  <c r="M12"/>
  <c r="L12"/>
  <c r="K12"/>
  <c r="J12"/>
  <c r="I12"/>
  <c r="H12"/>
  <c r="G12"/>
  <c r="F12"/>
  <c r="E12"/>
  <c r="D12"/>
  <c r="O11"/>
  <c r="N11"/>
  <c r="M11"/>
  <c r="L11"/>
  <c r="K11"/>
  <c r="J11"/>
  <c r="I11"/>
  <c r="H11"/>
  <c r="G11"/>
  <c r="F11"/>
  <c r="E11"/>
  <c r="D11"/>
  <c r="O9"/>
  <c r="O14" s="1"/>
  <c r="O25" s="1"/>
  <c r="N9"/>
  <c r="N14" s="1"/>
  <c r="M9"/>
  <c r="M14" s="1"/>
  <c r="M25" s="1"/>
  <c r="L9"/>
  <c r="L14" s="1"/>
  <c r="K9"/>
  <c r="K14" s="1"/>
  <c r="K25" s="1"/>
  <c r="J9"/>
  <c r="J14" s="1"/>
  <c r="I9"/>
  <c r="I14" s="1"/>
  <c r="I25" s="1"/>
  <c r="H9"/>
  <c r="H14" s="1"/>
  <c r="G9"/>
  <c r="G14" s="1"/>
  <c r="G25" s="1"/>
  <c r="F9"/>
  <c r="F14" s="1"/>
  <c r="E9"/>
  <c r="E14" s="1"/>
  <c r="E25" s="1"/>
  <c r="D9"/>
  <c r="D14" s="1"/>
  <c r="N98" l="1"/>
  <c r="L243"/>
  <c r="D135"/>
  <c r="D145" s="1"/>
  <c r="F135"/>
  <c r="H135"/>
  <c r="H145" s="1"/>
  <c r="J135"/>
  <c r="L135"/>
  <c r="L145" s="1"/>
  <c r="N135"/>
  <c r="E97"/>
  <c r="G97"/>
  <c r="I97"/>
  <c r="I98" s="1"/>
  <c r="K97"/>
  <c r="M97"/>
  <c r="O97"/>
  <c r="E98"/>
  <c r="G98"/>
  <c r="K98"/>
  <c r="M98"/>
  <c r="O98"/>
  <c r="E144"/>
  <c r="E145" s="1"/>
  <c r="G144"/>
  <c r="I144"/>
  <c r="I145" s="1"/>
  <c r="K144"/>
  <c r="M144"/>
  <c r="M145" s="1"/>
  <c r="O144"/>
  <c r="F145"/>
  <c r="J145"/>
  <c r="N145"/>
  <c r="G145"/>
  <c r="K145"/>
  <c r="O145"/>
  <c r="D25"/>
  <c r="F25"/>
  <c r="H25"/>
  <c r="J25"/>
  <c r="L25"/>
  <c r="N25"/>
</calcChain>
</file>

<file path=xl/sharedStrings.xml><?xml version="1.0" encoding="utf-8"?>
<sst xmlns="http://schemas.openxmlformats.org/spreadsheetml/2006/main" count="284" uniqueCount="125">
  <si>
    <t>№ рец.</t>
  </si>
  <si>
    <t>Наименование блюда</t>
  </si>
  <si>
    <t>Масса порций</t>
  </si>
  <si>
    <t>Пищевая ценность, г</t>
  </si>
  <si>
    <t>Витамины (мг)</t>
  </si>
  <si>
    <t>Минеральные вещества (мг)</t>
  </si>
  <si>
    <t>Энерг. ценность,ккал</t>
  </si>
  <si>
    <t>Стоимость блюда, руб.</t>
  </si>
  <si>
    <t>Белки</t>
  </si>
  <si>
    <t>Жиры</t>
  </si>
  <si>
    <t>Углеводы</t>
  </si>
  <si>
    <t>C</t>
  </si>
  <si>
    <t>A</t>
  </si>
  <si>
    <t>E</t>
  </si>
  <si>
    <t>Ca</t>
  </si>
  <si>
    <t>P</t>
  </si>
  <si>
    <t>Mg</t>
  </si>
  <si>
    <t>Fe</t>
  </si>
  <si>
    <t>Сыр порционно</t>
  </si>
  <si>
    <t>Чай с сахаром, молоком</t>
  </si>
  <si>
    <t>ГП</t>
  </si>
  <si>
    <t>Хлеб пшеничный</t>
  </si>
  <si>
    <t>Хлеб ржано-пшеничный</t>
  </si>
  <si>
    <t>Итого за завтрак</t>
  </si>
  <si>
    <t>Котлета рыбная</t>
  </si>
  <si>
    <t>Картофель отварной</t>
  </si>
  <si>
    <t>Сок  фруктовый</t>
  </si>
  <si>
    <t>Итого за обед</t>
  </si>
  <si>
    <t>Итого за день</t>
  </si>
  <si>
    <t>«Заказчик» ___________________________</t>
  </si>
  <si>
    <t>«Исполнитель» ___________________________</t>
  </si>
  <si>
    <t>106/5</t>
  </si>
  <si>
    <t>Какао с молоком</t>
  </si>
  <si>
    <t>Суп овощной со сметаной</t>
  </si>
  <si>
    <t>200/5</t>
  </si>
  <si>
    <t>Бефстроганов из говядины</t>
  </si>
  <si>
    <t>Макаронные изделия отварные с маслом сливочным</t>
  </si>
  <si>
    <t>Компот из смеси сухофруктов</t>
  </si>
  <si>
    <t>Плов с говядиной</t>
  </si>
  <si>
    <t>Борщ с капустой, картофелем, со сметаной</t>
  </si>
  <si>
    <t>Рыба тушеная в томате с овощами</t>
  </si>
  <si>
    <t>Пюре картофельное</t>
  </si>
  <si>
    <t>Сосиски или сардельки отварные с маслом сливочным</t>
  </si>
  <si>
    <t>Капуста тушеная</t>
  </si>
  <si>
    <t>Чай с сахаром</t>
  </si>
  <si>
    <t>Суп с макаронными изделиями</t>
  </si>
  <si>
    <t>279, 331</t>
  </si>
  <si>
    <t>Тефтели с соусом сметанным с томатом</t>
  </si>
  <si>
    <t>60/50</t>
  </si>
  <si>
    <t>Каша гречневая рассыпчатая</t>
  </si>
  <si>
    <t>Запеканка из творога со сгущенным молоком</t>
  </si>
  <si>
    <t>100/20</t>
  </si>
  <si>
    <t>Суп крестьянский с крупой, со сметаной</t>
  </si>
  <si>
    <t>250/5</t>
  </si>
  <si>
    <t>Азу с говядиной</t>
  </si>
  <si>
    <t>Компот из изюма</t>
  </si>
  <si>
    <t>Щи со свежей капустой, картофелем, со сметаной</t>
  </si>
  <si>
    <t>Биточки рыбные</t>
  </si>
  <si>
    <t>Картофельное пюре</t>
  </si>
  <si>
    <t>Хлеб  пшеничный</t>
  </si>
  <si>
    <t>Пельмени отварные с маслом</t>
  </si>
  <si>
    <t>Чай с сахаром, лимоном</t>
  </si>
  <si>
    <t>200/7</t>
  </si>
  <si>
    <t>Шницель куриный</t>
  </si>
  <si>
    <t>202, 205</t>
  </si>
  <si>
    <t>Макаронные изделия отварные с овощами</t>
  </si>
  <si>
    <t>Кофейный напиток с молоком</t>
  </si>
  <si>
    <t>Рассольник ленинградский со сметаной</t>
  </si>
  <si>
    <t>Поджарка из рыбы</t>
  </si>
  <si>
    <t>214, 304</t>
  </si>
  <si>
    <t>Рис отварной с овощами</t>
  </si>
  <si>
    <t>Жаркое по-домашнему</t>
  </si>
  <si>
    <t xml:space="preserve">1 день завтрак  </t>
  </si>
  <si>
    <t xml:space="preserve">2 день завтрак  </t>
  </si>
  <si>
    <t xml:space="preserve">1 день обед  </t>
  </si>
  <si>
    <t xml:space="preserve">10 день обед </t>
  </si>
  <si>
    <t xml:space="preserve">10 день завтрак </t>
  </si>
  <si>
    <t xml:space="preserve">9 день обед </t>
  </si>
  <si>
    <t xml:space="preserve">9 день завтрак </t>
  </si>
  <si>
    <t xml:space="preserve">8 день обед </t>
  </si>
  <si>
    <t>8 день завтрак</t>
  </si>
  <si>
    <t xml:space="preserve">7 день обед </t>
  </si>
  <si>
    <t>7 день завтрак</t>
  </si>
  <si>
    <t xml:space="preserve">6 день обед </t>
  </si>
  <si>
    <t>6 день завтрак</t>
  </si>
  <si>
    <t>5 день обед</t>
  </si>
  <si>
    <t xml:space="preserve">5 день завтрак </t>
  </si>
  <si>
    <t xml:space="preserve">4 день обед </t>
  </si>
  <si>
    <t xml:space="preserve">4 день завтрак </t>
  </si>
  <si>
    <t xml:space="preserve">3 день обед  </t>
  </si>
  <si>
    <t xml:space="preserve">3 день завтрак </t>
  </si>
  <si>
    <t xml:space="preserve">2 день обед  </t>
  </si>
  <si>
    <t>Масло сливочное</t>
  </si>
  <si>
    <t>Яблоки (бананы, груши) свежие</t>
  </si>
  <si>
    <t xml:space="preserve">Колбаса п/к порционно </t>
  </si>
  <si>
    <t>Огурцы свежие</t>
  </si>
  <si>
    <t>Суп картофельный с горохом, гренками</t>
  </si>
  <si>
    <t>Омлет натуральный, с маслом сливочным</t>
  </si>
  <si>
    <t>Мандарины (бананы) свежие</t>
  </si>
  <si>
    <t>Помидоры свежие</t>
  </si>
  <si>
    <t>Апельсины (груши, бананы) свежие</t>
  </si>
  <si>
    <t>Кисель плодово-ягодный</t>
  </si>
  <si>
    <t>-</t>
  </si>
  <si>
    <t>Каша молочная жидкая манная</t>
  </si>
  <si>
    <t>Компот из брусники</t>
  </si>
  <si>
    <t>Кондитерские изделия</t>
  </si>
  <si>
    <t>Зеленый горошек  отварной</t>
  </si>
  <si>
    <t>Каша молочная жидкая из овсяных хлопьев</t>
  </si>
  <si>
    <t>Отвар из шиповника</t>
  </si>
  <si>
    <t>Суп с картофелем, крупой</t>
  </si>
  <si>
    <t>Компот из кураги</t>
  </si>
  <si>
    <t>Каша молочная жидкая рисовая</t>
  </si>
  <si>
    <t>Суп картофельный с рыбными консервами</t>
  </si>
  <si>
    <t>Яблоки (черешня) свежие</t>
  </si>
  <si>
    <t>Мандарины (яблоки) свежие</t>
  </si>
  <si>
    <t xml:space="preserve">Биточки из говядины с соусом сметанным </t>
  </si>
  <si>
    <t>Яблоки свежие (или бананы, груши)</t>
  </si>
  <si>
    <t>Борщ с фасолью, картофелем, со сметаной</t>
  </si>
  <si>
    <t>Мандарины (груши, бананы) свежие</t>
  </si>
  <si>
    <t>100/10</t>
  </si>
  <si>
    <t>Апельсины (яблоки, бананы) свежие</t>
  </si>
  <si>
    <t>Примерное меню</t>
  </si>
  <si>
    <r>
      <t>B</t>
    </r>
    <r>
      <rPr>
        <vertAlign val="subscript"/>
        <sz val="12"/>
        <color theme="1"/>
        <rFont val="Times New Roman"/>
        <family val="1"/>
        <charset val="204"/>
      </rPr>
      <t>1</t>
    </r>
  </si>
  <si>
    <t>Приложение №  1 к проекту договора №____ от"___"__________2019 г.</t>
  </si>
  <si>
    <t>Каша рисовая (вязкая) молочная с маслом сливочным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</si>
</sst>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2" fontId="1" fillId="0" borderId="0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48"/>
  <sheetViews>
    <sheetView tabSelected="1" view="pageBreakPreview" zoomScale="60" zoomScaleNormal="70" workbookViewId="0">
      <selection activeCell="B9" sqref="B9"/>
    </sheetView>
  </sheetViews>
  <sheetFormatPr defaultRowHeight="15"/>
  <cols>
    <col min="1" max="1" width="7" customWidth="1"/>
    <col min="2" max="2" width="39.7109375" customWidth="1"/>
    <col min="3" max="3" width="9.140625" customWidth="1"/>
    <col min="4" max="5" width="9.28515625" bestFit="1" customWidth="1"/>
    <col min="6" max="6" width="11.5703125" customWidth="1"/>
    <col min="7" max="9" width="9.28515625" bestFit="1" customWidth="1"/>
    <col min="10" max="10" width="8.140625" customWidth="1"/>
    <col min="11" max="11" width="9.42578125" bestFit="1" customWidth="1"/>
    <col min="12" max="12" width="10.85546875" bestFit="1" customWidth="1"/>
    <col min="13" max="13" width="9.42578125" bestFit="1" customWidth="1"/>
    <col min="14" max="14" width="9.28515625" bestFit="1" customWidth="1"/>
    <col min="15" max="15" width="11.85546875" customWidth="1"/>
    <col min="16" max="16" width="12.7109375" customWidth="1"/>
  </cols>
  <sheetData>
    <row r="1" spans="1:16" ht="15.75">
      <c r="A1" s="6"/>
      <c r="B1" s="6"/>
      <c r="C1" s="6"/>
      <c r="D1" s="6"/>
      <c r="E1" s="6"/>
      <c r="F1" s="6"/>
      <c r="G1" s="6"/>
      <c r="H1" s="6"/>
      <c r="I1" s="6"/>
      <c r="J1" s="6" t="s">
        <v>123</v>
      </c>
      <c r="K1" s="6"/>
      <c r="L1" s="6"/>
      <c r="M1" s="6"/>
      <c r="N1" s="6"/>
      <c r="O1" s="6"/>
      <c r="P1" s="6"/>
    </row>
    <row r="2" spans="1:16" ht="15.75">
      <c r="A2" s="6"/>
      <c r="B2" s="6"/>
      <c r="C2" s="7" t="s">
        <v>121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5.7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5.75">
      <c r="A4" s="35" t="s">
        <v>0</v>
      </c>
      <c r="B4" s="35" t="s">
        <v>1</v>
      </c>
      <c r="C4" s="35" t="s">
        <v>2</v>
      </c>
      <c r="D4" s="35" t="s">
        <v>3</v>
      </c>
      <c r="E4" s="35"/>
      <c r="F4" s="35"/>
      <c r="G4" s="35" t="s">
        <v>4</v>
      </c>
      <c r="H4" s="35"/>
      <c r="I4" s="35"/>
      <c r="J4" s="35"/>
      <c r="K4" s="35" t="s">
        <v>5</v>
      </c>
      <c r="L4" s="35"/>
      <c r="M4" s="35"/>
      <c r="N4" s="35"/>
      <c r="O4" s="35" t="s">
        <v>6</v>
      </c>
      <c r="P4" s="35" t="s">
        <v>7</v>
      </c>
    </row>
    <row r="5" spans="1:16" ht="47.25" customHeight="1">
      <c r="A5" s="35"/>
      <c r="B5" s="35"/>
      <c r="C5" s="35"/>
      <c r="D5" s="8" t="s">
        <v>8</v>
      </c>
      <c r="E5" s="9" t="s">
        <v>9</v>
      </c>
      <c r="F5" s="9" t="s">
        <v>10</v>
      </c>
      <c r="G5" s="9" t="s">
        <v>122</v>
      </c>
      <c r="H5" s="9" t="s">
        <v>11</v>
      </c>
      <c r="I5" s="9" t="s">
        <v>12</v>
      </c>
      <c r="J5" s="9" t="s">
        <v>13</v>
      </c>
      <c r="K5" s="9" t="s">
        <v>14</v>
      </c>
      <c r="L5" s="9" t="s">
        <v>15</v>
      </c>
      <c r="M5" s="9" t="s">
        <v>16</v>
      </c>
      <c r="N5" s="9" t="s">
        <v>17</v>
      </c>
      <c r="O5" s="35"/>
      <c r="P5" s="35"/>
    </row>
    <row r="6" spans="1:16" ht="20.100000000000001" customHeight="1">
      <c r="A6" s="32" t="s">
        <v>72</v>
      </c>
      <c r="B6" s="32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31.5" customHeight="1">
      <c r="A7" s="8">
        <v>182</v>
      </c>
      <c r="B7" s="25" t="s">
        <v>124</v>
      </c>
      <c r="C7" s="8">
        <v>200</v>
      </c>
      <c r="D7" s="13">
        <v>7.51</v>
      </c>
      <c r="E7" s="13">
        <v>4.5199999999999996</v>
      </c>
      <c r="F7" s="13">
        <v>37.5</v>
      </c>
      <c r="G7" s="13">
        <v>0.19</v>
      </c>
      <c r="H7" s="13">
        <v>1.17</v>
      </c>
      <c r="I7" s="13">
        <v>0.57999999999999996</v>
      </c>
      <c r="J7" s="13">
        <v>0</v>
      </c>
      <c r="K7" s="13">
        <v>138.1</v>
      </c>
      <c r="L7" s="13">
        <v>184.37</v>
      </c>
      <c r="M7" s="13">
        <v>47.6</v>
      </c>
      <c r="N7" s="13">
        <v>1.23</v>
      </c>
      <c r="O7" s="13">
        <v>219.28</v>
      </c>
      <c r="P7" s="13">
        <v>18.55</v>
      </c>
    </row>
    <row r="8" spans="1:16" ht="26.25" customHeight="1">
      <c r="A8" s="8">
        <v>14</v>
      </c>
      <c r="B8" s="12" t="s">
        <v>92</v>
      </c>
      <c r="C8" s="8">
        <v>5</v>
      </c>
      <c r="D8" s="13">
        <v>0.1</v>
      </c>
      <c r="E8" s="13">
        <v>7.2</v>
      </c>
      <c r="F8" s="13">
        <v>0.13</v>
      </c>
      <c r="G8" s="13">
        <v>0</v>
      </c>
      <c r="H8" s="13">
        <v>0</v>
      </c>
      <c r="I8" s="13">
        <v>0.4</v>
      </c>
      <c r="J8" s="13">
        <v>0.01</v>
      </c>
      <c r="K8" s="13">
        <v>2.4</v>
      </c>
      <c r="L8" s="13">
        <v>3</v>
      </c>
      <c r="M8" s="13">
        <v>0</v>
      </c>
      <c r="N8" s="13">
        <v>0</v>
      </c>
      <c r="O8" s="13">
        <v>65.72</v>
      </c>
      <c r="P8" s="13">
        <v>4.16</v>
      </c>
    </row>
    <row r="9" spans="1:16" ht="20.100000000000001" customHeight="1">
      <c r="A9" s="8">
        <v>15</v>
      </c>
      <c r="B9" s="12" t="s">
        <v>18</v>
      </c>
      <c r="C9" s="8">
        <v>25</v>
      </c>
      <c r="D9" s="13">
        <f>26.28/100*$C9</f>
        <v>6.5700000000000012</v>
      </c>
      <c r="E9" s="13">
        <f>26.6/100*$C9</f>
        <v>6.65</v>
      </c>
      <c r="F9" s="13">
        <f>0/100*$C9</f>
        <v>0</v>
      </c>
      <c r="G9" s="13">
        <f>0.04/100*$C9</f>
        <v>0.01</v>
      </c>
      <c r="H9" s="13">
        <f>0.68/100*$C9</f>
        <v>0.17</v>
      </c>
      <c r="I9" s="13">
        <f>2.08/100*$C9</f>
        <v>0.52</v>
      </c>
      <c r="J9" s="13">
        <f>0/100*$C9</f>
        <v>0</v>
      </c>
      <c r="K9" s="13">
        <f>996/100*$C9</f>
        <v>249.00000000000003</v>
      </c>
      <c r="L9" s="13">
        <f>599.6/100*$C9</f>
        <v>149.9</v>
      </c>
      <c r="M9" s="13">
        <f>54.96/100*$C9</f>
        <v>13.74</v>
      </c>
      <c r="N9" s="13">
        <f>0.68/100*$C9</f>
        <v>0.17</v>
      </c>
      <c r="O9" s="13">
        <f>343.2/100*$C9</f>
        <v>85.8</v>
      </c>
      <c r="P9" s="13">
        <v>17.86</v>
      </c>
    </row>
    <row r="10" spans="1:16" ht="20.100000000000001" customHeight="1">
      <c r="A10" s="8">
        <v>378</v>
      </c>
      <c r="B10" s="12" t="s">
        <v>19</v>
      </c>
      <c r="C10" s="8">
        <v>200</v>
      </c>
      <c r="D10" s="13">
        <v>1.52</v>
      </c>
      <c r="E10" s="13">
        <v>1.35</v>
      </c>
      <c r="F10" s="13">
        <v>15.9</v>
      </c>
      <c r="G10" s="13">
        <v>0.04</v>
      </c>
      <c r="H10" s="13">
        <v>1.33</v>
      </c>
      <c r="I10" s="13">
        <v>10</v>
      </c>
      <c r="J10" s="13">
        <v>0</v>
      </c>
      <c r="K10" s="13">
        <v>126.6</v>
      </c>
      <c r="L10" s="13">
        <v>92.8</v>
      </c>
      <c r="M10" s="13">
        <v>15.4</v>
      </c>
      <c r="N10" s="13">
        <v>0.41</v>
      </c>
      <c r="O10" s="13">
        <v>81</v>
      </c>
      <c r="P10" s="13">
        <v>4.5999999999999996</v>
      </c>
    </row>
    <row r="11" spans="1:16" ht="20.100000000000001" customHeight="1">
      <c r="A11" s="8" t="s">
        <v>20</v>
      </c>
      <c r="B11" s="12" t="s">
        <v>21</v>
      </c>
      <c r="C11" s="8">
        <v>50</v>
      </c>
      <c r="D11" s="13">
        <f>8/100*$C11</f>
        <v>4</v>
      </c>
      <c r="E11" s="13">
        <f>1.509/100*$C11</f>
        <v>0.75449999999999995</v>
      </c>
      <c r="F11" s="13">
        <f>40.127/100*$C11</f>
        <v>20.063500000000001</v>
      </c>
      <c r="G11" s="13">
        <f>0.072/100*$C11</f>
        <v>3.5999999999999997E-2</v>
      </c>
      <c r="H11" s="13">
        <f>0/100*$C11</f>
        <v>0</v>
      </c>
      <c r="I11" s="13">
        <f>0/100*$C11</f>
        <v>0</v>
      </c>
      <c r="J11" s="13">
        <f>2.36/100*$C11</f>
        <v>1.18</v>
      </c>
      <c r="K11" s="13">
        <f>33/100*$C11</f>
        <v>16.5</v>
      </c>
      <c r="L11" s="13">
        <f>234/100*$C11</f>
        <v>117</v>
      </c>
      <c r="M11" s="13">
        <f>66/100*$C11</f>
        <v>33</v>
      </c>
      <c r="N11" s="13">
        <f>4.4/100*$C11</f>
        <v>2.2000000000000002</v>
      </c>
      <c r="O11" s="13">
        <f>208/100*$C11</f>
        <v>104</v>
      </c>
      <c r="P11" s="13">
        <v>1.65</v>
      </c>
    </row>
    <row r="12" spans="1:16" ht="20.100000000000001" customHeight="1">
      <c r="A12" s="8" t="s">
        <v>20</v>
      </c>
      <c r="B12" s="12" t="s">
        <v>22</v>
      </c>
      <c r="C12" s="8">
        <v>50</v>
      </c>
      <c r="D12" s="13">
        <f>4.9/100*$C12</f>
        <v>2.4500000000000002</v>
      </c>
      <c r="E12" s="13">
        <f>1.1/100*$C12</f>
        <v>0.55000000000000004</v>
      </c>
      <c r="F12" s="13">
        <f>48.9/100*$C12</f>
        <v>24.45</v>
      </c>
      <c r="G12" s="13">
        <f>0.1/100*$C12</f>
        <v>0.05</v>
      </c>
      <c r="H12" s="13">
        <f>0/100*$C12</f>
        <v>0</v>
      </c>
      <c r="I12" s="13">
        <f>0/100*$C12</f>
        <v>0</v>
      </c>
      <c r="J12" s="13">
        <f>0.9/100*$C12</f>
        <v>0.45000000000000007</v>
      </c>
      <c r="K12" s="13">
        <f>23/100*$C12</f>
        <v>11.5</v>
      </c>
      <c r="L12" s="13">
        <f>106/100*$C12</f>
        <v>53</v>
      </c>
      <c r="M12" s="13">
        <f>25/100*$C12</f>
        <v>12.5</v>
      </c>
      <c r="N12" s="13">
        <f>3.1/100*$C12</f>
        <v>1.55</v>
      </c>
      <c r="O12" s="13">
        <f>200/100*$C12</f>
        <v>100</v>
      </c>
      <c r="P12" s="13">
        <v>2</v>
      </c>
    </row>
    <row r="13" spans="1:16" ht="20.100000000000001" customHeight="1">
      <c r="A13" s="8">
        <v>338</v>
      </c>
      <c r="B13" s="12" t="s">
        <v>93</v>
      </c>
      <c r="C13" s="8">
        <v>180</v>
      </c>
      <c r="D13" s="13">
        <f>0.622/100*$C13</f>
        <v>1.1195999999999999</v>
      </c>
      <c r="E13" s="13">
        <f>0.622/100*$C13</f>
        <v>1.1195999999999999</v>
      </c>
      <c r="F13" s="13">
        <f>15.256/100*$C13</f>
        <v>27.460799999999999</v>
      </c>
      <c r="G13" s="13">
        <f>0.0556/100*$C13</f>
        <v>0.10007999999999999</v>
      </c>
      <c r="H13" s="13">
        <f>15.5/100*$C13</f>
        <v>27.9</v>
      </c>
      <c r="I13" s="13">
        <f>0/100*$C13</f>
        <v>0</v>
      </c>
      <c r="J13" s="13">
        <f>0.31/100*$C13</f>
        <v>0.55799999999999994</v>
      </c>
      <c r="K13" s="13">
        <f>24.878/100*$C13</f>
        <v>44.7804</v>
      </c>
      <c r="L13" s="13">
        <f>17.167/100*$C13</f>
        <v>30.900600000000004</v>
      </c>
      <c r="M13" s="13">
        <f>14/100*$C13</f>
        <v>25.200000000000003</v>
      </c>
      <c r="N13" s="13">
        <f>3.422/100*$C13</f>
        <v>6.1596000000000002</v>
      </c>
      <c r="O13" s="13">
        <f>73.122/100*$C13</f>
        <v>131.61959999999999</v>
      </c>
      <c r="P13" s="13">
        <v>27</v>
      </c>
    </row>
    <row r="14" spans="1:16" ht="20.100000000000001" customHeight="1">
      <c r="A14" s="10"/>
      <c r="B14" s="10" t="s">
        <v>23</v>
      </c>
      <c r="C14" s="8"/>
      <c r="D14" s="13">
        <f t="shared" ref="D14:O14" si="0">SUM(D7:D13)</f>
        <v>23.269599999999997</v>
      </c>
      <c r="E14" s="13">
        <f t="shared" si="0"/>
        <v>22.144099999999998</v>
      </c>
      <c r="F14" s="13">
        <f t="shared" si="0"/>
        <v>125.5043</v>
      </c>
      <c r="G14" s="13">
        <f t="shared" si="0"/>
        <v>0.42608000000000001</v>
      </c>
      <c r="H14" s="13">
        <f t="shared" si="0"/>
        <v>30.57</v>
      </c>
      <c r="I14" s="13">
        <f t="shared" si="0"/>
        <v>11.5</v>
      </c>
      <c r="J14" s="13">
        <f t="shared" si="0"/>
        <v>2.198</v>
      </c>
      <c r="K14" s="13">
        <f t="shared" si="0"/>
        <v>588.88040000000001</v>
      </c>
      <c r="L14" s="13">
        <f t="shared" si="0"/>
        <v>630.97059999999999</v>
      </c>
      <c r="M14" s="13">
        <f t="shared" si="0"/>
        <v>147.44</v>
      </c>
      <c r="N14" s="13">
        <f t="shared" si="0"/>
        <v>11.7196</v>
      </c>
      <c r="O14" s="13">
        <f t="shared" si="0"/>
        <v>787.41959999999995</v>
      </c>
      <c r="P14" s="13">
        <v>67.2</v>
      </c>
    </row>
    <row r="15" spans="1:16" ht="20.100000000000001" customHeight="1">
      <c r="A15" s="32" t="s">
        <v>74</v>
      </c>
      <c r="B15" s="32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ht="34.5" customHeight="1">
      <c r="A16" s="8">
        <v>71</v>
      </c>
      <c r="B16" s="12" t="s">
        <v>95</v>
      </c>
      <c r="C16" s="8">
        <v>60</v>
      </c>
      <c r="D16" s="14">
        <f>0.8/100*$C16</f>
        <v>0.48</v>
      </c>
      <c r="E16" s="14">
        <f>0.1/100*$C16</f>
        <v>0.06</v>
      </c>
      <c r="F16" s="14">
        <f>1.567/100*$C16</f>
        <v>0.94020000000000004</v>
      </c>
      <c r="G16" s="14">
        <f>0.0667/100*$C16</f>
        <v>4.002E-2</v>
      </c>
      <c r="H16" s="14">
        <f>3.7667/100*$C16</f>
        <v>2.2600199999999999</v>
      </c>
      <c r="I16" s="14">
        <f>11.267/100*$C16</f>
        <v>6.7601999999999993</v>
      </c>
      <c r="J16" s="14">
        <f>0.067/100*$C16</f>
        <v>4.02E-2</v>
      </c>
      <c r="K16" s="14">
        <f>17.267/100*$C16</f>
        <v>10.360199999999999</v>
      </c>
      <c r="L16" s="14">
        <f>18/100*$C16</f>
        <v>10.799999999999999</v>
      </c>
      <c r="M16" s="14">
        <f>10.5/100*$C16</f>
        <v>6.3</v>
      </c>
      <c r="N16" s="14">
        <f>0.467/100*$C16</f>
        <v>0.2802</v>
      </c>
      <c r="O16" s="14">
        <f>19.5/100*$C16</f>
        <v>11.700000000000001</v>
      </c>
      <c r="P16" s="13">
        <v>14</v>
      </c>
    </row>
    <row r="17" spans="1:16" ht="33.75" customHeight="1">
      <c r="A17" s="8">
        <v>102</v>
      </c>
      <c r="B17" s="12" t="s">
        <v>96</v>
      </c>
      <c r="C17" s="8">
        <v>200</v>
      </c>
      <c r="D17" s="13">
        <v>8.08</v>
      </c>
      <c r="E17" s="13">
        <v>6.47</v>
      </c>
      <c r="F17" s="13">
        <v>18.940000000000001</v>
      </c>
      <c r="G17" s="13">
        <v>0.2</v>
      </c>
      <c r="H17" s="13">
        <v>6.62</v>
      </c>
      <c r="I17" s="13">
        <v>9.2799999999999994</v>
      </c>
      <c r="J17" s="13">
        <v>1.29</v>
      </c>
      <c r="K17" s="13">
        <v>33.200000000000003</v>
      </c>
      <c r="L17" s="13">
        <v>102</v>
      </c>
      <c r="M17" s="13">
        <v>33.97</v>
      </c>
      <c r="N17" s="13">
        <v>2.02</v>
      </c>
      <c r="O17" s="13">
        <v>160.32</v>
      </c>
      <c r="P17" s="13">
        <v>6.28</v>
      </c>
    </row>
    <row r="18" spans="1:16" ht="20.100000000000001" customHeight="1">
      <c r="A18" s="8">
        <v>234</v>
      </c>
      <c r="B18" s="12" t="s">
        <v>24</v>
      </c>
      <c r="C18" s="8">
        <v>80</v>
      </c>
      <c r="D18" s="13">
        <f>15.625/100*$C18</f>
        <v>12.5</v>
      </c>
      <c r="E18" s="13">
        <f>4.2125/100*$C18</f>
        <v>3.37</v>
      </c>
      <c r="F18" s="13">
        <f>16.125/100*$C18</f>
        <v>12.9</v>
      </c>
      <c r="G18" s="13">
        <f>0.1125/100*$C18</f>
        <v>9.0000000000000011E-2</v>
      </c>
      <c r="H18" s="13">
        <f>0.225/100*$C18</f>
        <v>0.18000000000000002</v>
      </c>
      <c r="I18" s="13">
        <f>2.25/100*$C18</f>
        <v>1.7999999999999998</v>
      </c>
      <c r="J18" s="13">
        <f>0.025/100*$C18</f>
        <v>0.02</v>
      </c>
      <c r="K18" s="13">
        <f>55.625/100*$C18</f>
        <v>44.5</v>
      </c>
      <c r="L18" s="13">
        <f>225.5/100*$C18</f>
        <v>180.39999999999998</v>
      </c>
      <c r="M18" s="13">
        <f>51.5/100*$C18</f>
        <v>41.2</v>
      </c>
      <c r="N18" s="13">
        <f>1.3/100*$C18</f>
        <v>1.04</v>
      </c>
      <c r="O18" s="13">
        <f>161.25/100*$C18</f>
        <v>129</v>
      </c>
      <c r="P18" s="13">
        <v>29.23</v>
      </c>
    </row>
    <row r="19" spans="1:16" ht="20.100000000000001" customHeight="1">
      <c r="A19" s="8">
        <v>310</v>
      </c>
      <c r="B19" s="12" t="s">
        <v>25</v>
      </c>
      <c r="C19" s="8">
        <v>100</v>
      </c>
      <c r="D19" s="13">
        <f>2.13/100*$C19</f>
        <v>2.13</v>
      </c>
      <c r="E19" s="13">
        <f>3.99/100*$C19</f>
        <v>3.9900000000000007</v>
      </c>
      <c r="F19" s="13">
        <f>14.02/100*$C19</f>
        <v>14.02</v>
      </c>
      <c r="G19" s="13">
        <f>0.09/100*$C19</f>
        <v>0.09</v>
      </c>
      <c r="H19" s="13">
        <f>12.36/100*$C19</f>
        <v>12.36</v>
      </c>
      <c r="I19" s="13">
        <f>0.13/100*$C19</f>
        <v>0.13</v>
      </c>
      <c r="J19" s="13">
        <f>0.02/100*$C19</f>
        <v>0.02</v>
      </c>
      <c r="K19" s="13">
        <f>29.15/100*$C19</f>
        <v>29.15</v>
      </c>
      <c r="L19" s="13">
        <f>60.13/100*$C19</f>
        <v>60.13</v>
      </c>
      <c r="M19" s="13">
        <f>20.54/100*$C19</f>
        <v>20.54</v>
      </c>
      <c r="N19" s="13">
        <f>0.69/100*$C19</f>
        <v>0.69</v>
      </c>
      <c r="O19" s="13">
        <f>100.56/100*$C19</f>
        <v>100.56</v>
      </c>
      <c r="P19" s="13">
        <v>8.1300000000000008</v>
      </c>
    </row>
    <row r="20" spans="1:16" ht="20.100000000000001" customHeight="1">
      <c r="A20" s="8">
        <v>348</v>
      </c>
      <c r="B20" s="12" t="s">
        <v>55</v>
      </c>
      <c r="C20" s="8">
        <v>200</v>
      </c>
      <c r="D20" s="13">
        <v>0.35</v>
      </c>
      <c r="E20" s="13">
        <v>0.08</v>
      </c>
      <c r="F20" s="13">
        <v>29.9</v>
      </c>
      <c r="G20" s="13">
        <v>0.02</v>
      </c>
      <c r="H20" s="13">
        <v>0</v>
      </c>
      <c r="I20" s="13">
        <v>0</v>
      </c>
      <c r="J20" s="13">
        <v>0.08</v>
      </c>
      <c r="K20" s="13">
        <v>20.32</v>
      </c>
      <c r="L20" s="13">
        <v>19.399999999999999</v>
      </c>
      <c r="M20" s="13">
        <v>8.1199999999999992</v>
      </c>
      <c r="N20" s="13">
        <v>0.45</v>
      </c>
      <c r="O20" s="13">
        <v>122.2</v>
      </c>
      <c r="P20" s="13">
        <v>4.5599999999999996</v>
      </c>
    </row>
    <row r="21" spans="1:16" ht="20.100000000000001" customHeight="1">
      <c r="A21" s="8" t="s">
        <v>20</v>
      </c>
      <c r="B21" s="12" t="s">
        <v>21</v>
      </c>
      <c r="C21" s="8">
        <v>50</v>
      </c>
      <c r="D21" s="13">
        <f>8/100*$C21</f>
        <v>4</v>
      </c>
      <c r="E21" s="13">
        <f>1.509/100*$C21</f>
        <v>0.75449999999999995</v>
      </c>
      <c r="F21" s="13">
        <f>40.127/100*$C21</f>
        <v>20.063500000000001</v>
      </c>
      <c r="G21" s="13">
        <f>0.072/100*$C21</f>
        <v>3.5999999999999997E-2</v>
      </c>
      <c r="H21" s="13">
        <f t="shared" ref="H21:I22" si="1">0/100*$C21</f>
        <v>0</v>
      </c>
      <c r="I21" s="13">
        <f t="shared" si="1"/>
        <v>0</v>
      </c>
      <c r="J21" s="13">
        <f>2.36/100*$C21</f>
        <v>1.18</v>
      </c>
      <c r="K21" s="13">
        <f>33/100*$C21</f>
        <v>16.5</v>
      </c>
      <c r="L21" s="13">
        <f>234/100*$C21</f>
        <v>117</v>
      </c>
      <c r="M21" s="13">
        <f>66/100*$C21</f>
        <v>33</v>
      </c>
      <c r="N21" s="13">
        <f>4.4/100*$C21</f>
        <v>2.2000000000000002</v>
      </c>
      <c r="O21" s="13">
        <f>208/100*$C21</f>
        <v>104</v>
      </c>
      <c r="P21" s="13">
        <v>1.65</v>
      </c>
    </row>
    <row r="22" spans="1:16" ht="20.100000000000001" customHeight="1">
      <c r="A22" s="8" t="s">
        <v>20</v>
      </c>
      <c r="B22" s="12" t="s">
        <v>22</v>
      </c>
      <c r="C22" s="8">
        <v>75</v>
      </c>
      <c r="D22" s="13">
        <f>4.9/100*$C22</f>
        <v>3.6750000000000003</v>
      </c>
      <c r="E22" s="13">
        <f>1.1/100*$C22</f>
        <v>0.82500000000000007</v>
      </c>
      <c r="F22" s="13">
        <f>48.9/100*$C22</f>
        <v>36.674999999999997</v>
      </c>
      <c r="G22" s="13">
        <f>0.1/100*$C22</f>
        <v>7.4999999999999997E-2</v>
      </c>
      <c r="H22" s="13">
        <f t="shared" si="1"/>
        <v>0</v>
      </c>
      <c r="I22" s="13">
        <f t="shared" si="1"/>
        <v>0</v>
      </c>
      <c r="J22" s="13">
        <f>0.9/100*$C22</f>
        <v>0.67500000000000004</v>
      </c>
      <c r="K22" s="13">
        <f>23/100*$C22</f>
        <v>17.25</v>
      </c>
      <c r="L22" s="13">
        <f>106/100*$C22</f>
        <v>79.5</v>
      </c>
      <c r="M22" s="13">
        <f>25/100*$C22</f>
        <v>18.75</v>
      </c>
      <c r="N22" s="13">
        <f>3.1/100*$C22</f>
        <v>2.3250000000000002</v>
      </c>
      <c r="O22" s="13">
        <f>200/100*$C22</f>
        <v>150</v>
      </c>
      <c r="P22" s="13">
        <v>3</v>
      </c>
    </row>
    <row r="23" spans="1:16" ht="20.100000000000001" customHeight="1">
      <c r="A23" s="8" t="s">
        <v>20</v>
      </c>
      <c r="B23" s="12" t="s">
        <v>26</v>
      </c>
      <c r="C23" s="8">
        <v>200</v>
      </c>
      <c r="D23" s="13">
        <v>1</v>
      </c>
      <c r="E23" s="13">
        <v>0.2</v>
      </c>
      <c r="F23" s="13">
        <v>20</v>
      </c>
      <c r="G23" s="13">
        <v>0.02</v>
      </c>
      <c r="H23" s="13">
        <v>4</v>
      </c>
      <c r="I23" s="13">
        <v>0</v>
      </c>
      <c r="J23" s="13">
        <v>0.2</v>
      </c>
      <c r="K23" s="13">
        <v>14</v>
      </c>
      <c r="L23" s="13">
        <v>14</v>
      </c>
      <c r="M23" s="13">
        <v>8</v>
      </c>
      <c r="N23" s="13">
        <v>2.8</v>
      </c>
      <c r="O23" s="13">
        <v>65.8</v>
      </c>
      <c r="P23" s="13">
        <v>16.489999999999998</v>
      </c>
    </row>
    <row r="24" spans="1:16" ht="20.100000000000001" customHeight="1">
      <c r="A24" s="12"/>
      <c r="B24" s="12" t="s">
        <v>27</v>
      </c>
      <c r="C24" s="12"/>
      <c r="D24" s="13">
        <f t="shared" ref="D24:O24" si="2">SUM(D17:D22)</f>
        <v>30.734999999999999</v>
      </c>
      <c r="E24" s="13">
        <f t="shared" si="2"/>
        <v>15.4895</v>
      </c>
      <c r="F24" s="13">
        <f t="shared" si="2"/>
        <v>132.49849999999998</v>
      </c>
      <c r="G24" s="13">
        <f t="shared" si="2"/>
        <v>0.51100000000000001</v>
      </c>
      <c r="H24" s="13">
        <f t="shared" si="2"/>
        <v>19.16</v>
      </c>
      <c r="I24" s="13">
        <f t="shared" si="2"/>
        <v>11.209999999999999</v>
      </c>
      <c r="J24" s="13">
        <f t="shared" si="2"/>
        <v>3.2649999999999997</v>
      </c>
      <c r="K24" s="13">
        <f t="shared" si="2"/>
        <v>160.91999999999999</v>
      </c>
      <c r="L24" s="13">
        <f t="shared" si="2"/>
        <v>558.42999999999995</v>
      </c>
      <c r="M24" s="13">
        <f t="shared" si="2"/>
        <v>155.58000000000001</v>
      </c>
      <c r="N24" s="13">
        <f t="shared" si="2"/>
        <v>8.7250000000000014</v>
      </c>
      <c r="O24" s="13">
        <f t="shared" si="2"/>
        <v>766.08</v>
      </c>
      <c r="P24" s="13">
        <v>83.34</v>
      </c>
    </row>
    <row r="25" spans="1:16" ht="20.100000000000001" customHeight="1">
      <c r="A25" s="34"/>
      <c r="B25" s="34" t="s">
        <v>28</v>
      </c>
      <c r="C25" s="34"/>
      <c r="D25" s="33">
        <f t="shared" ref="D25:O25" si="3">SUM(D14,D24)</f>
        <v>54.004599999999996</v>
      </c>
      <c r="E25" s="33">
        <f t="shared" si="3"/>
        <v>37.633600000000001</v>
      </c>
      <c r="F25" s="33">
        <f t="shared" si="3"/>
        <v>258.00279999999998</v>
      </c>
      <c r="G25" s="33">
        <f t="shared" si="3"/>
        <v>0.93708000000000002</v>
      </c>
      <c r="H25" s="33">
        <f t="shared" si="3"/>
        <v>49.730000000000004</v>
      </c>
      <c r="I25" s="33">
        <f t="shared" si="3"/>
        <v>22.71</v>
      </c>
      <c r="J25" s="33">
        <f t="shared" si="3"/>
        <v>5.4629999999999992</v>
      </c>
      <c r="K25" s="33">
        <f t="shared" si="3"/>
        <v>749.80039999999997</v>
      </c>
      <c r="L25" s="33">
        <f t="shared" si="3"/>
        <v>1189.4005999999999</v>
      </c>
      <c r="M25" s="33">
        <f t="shared" si="3"/>
        <v>303.02</v>
      </c>
      <c r="N25" s="33">
        <f t="shared" si="3"/>
        <v>20.444600000000001</v>
      </c>
      <c r="O25" s="33">
        <f t="shared" si="3"/>
        <v>1553.4996000000001</v>
      </c>
      <c r="P25" s="33">
        <v>150.54</v>
      </c>
    </row>
    <row r="26" spans="1:16" ht="20.100000000000001" customHeight="1">
      <c r="A26" s="34"/>
      <c r="B26" s="34"/>
      <c r="C26" s="34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</row>
    <row r="27" spans="1:16" ht="20.100000000000001" customHeigh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1:16" ht="20.100000000000001" customHeight="1">
      <c r="A28" s="6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6" ht="20.100000000000001" customHeight="1">
      <c r="A29" s="24"/>
      <c r="B29" s="26" t="s">
        <v>29</v>
      </c>
      <c r="C29" s="26"/>
      <c r="D29" s="26"/>
      <c r="E29" s="24"/>
      <c r="F29" s="24"/>
      <c r="G29" s="24"/>
      <c r="H29" s="24"/>
      <c r="I29" s="24"/>
      <c r="J29" s="15" t="s">
        <v>30</v>
      </c>
      <c r="K29" s="15"/>
      <c r="L29" s="15"/>
      <c r="M29" s="15"/>
      <c r="N29" s="24"/>
      <c r="O29" s="24"/>
      <c r="P29" s="24"/>
    </row>
    <row r="30" spans="1:16" ht="20.100000000000001" customHeight="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6" ht="20.100000000000001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6" ht="20.100000000000001" customHeight="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20.100000000000001" customHeight="1">
      <c r="A33" s="32" t="s">
        <v>73</v>
      </c>
      <c r="B33" s="32"/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 ht="36" customHeight="1">
      <c r="A34" s="8">
        <v>211</v>
      </c>
      <c r="B34" s="12" t="s">
        <v>97</v>
      </c>
      <c r="C34" s="8" t="s">
        <v>31</v>
      </c>
      <c r="D34" s="13">
        <v>10.88</v>
      </c>
      <c r="E34" s="13">
        <v>23.8</v>
      </c>
      <c r="F34" s="13">
        <v>2.1</v>
      </c>
      <c r="G34" s="13">
        <v>7.0000000000000007E-2</v>
      </c>
      <c r="H34" s="13">
        <v>0.18</v>
      </c>
      <c r="I34" s="13">
        <v>2.5</v>
      </c>
      <c r="J34" s="13">
        <v>0</v>
      </c>
      <c r="K34" s="13">
        <v>74.099999999999994</v>
      </c>
      <c r="L34" s="13">
        <v>161.30000000000001</v>
      </c>
      <c r="M34" s="13">
        <v>11.42</v>
      </c>
      <c r="N34" s="13">
        <v>1.88</v>
      </c>
      <c r="O34" s="13">
        <v>294</v>
      </c>
      <c r="P34" s="13">
        <v>18.2</v>
      </c>
    </row>
    <row r="35" spans="1:16" ht="20.100000000000001" customHeight="1">
      <c r="A35" s="8">
        <v>16</v>
      </c>
      <c r="B35" s="12" t="s">
        <v>94</v>
      </c>
      <c r="C35" s="8">
        <v>25</v>
      </c>
      <c r="D35" s="13">
        <f>15.1/100*$C35</f>
        <v>3.7749999999999999</v>
      </c>
      <c r="E35" s="13">
        <f>40/100*$C35</f>
        <v>10</v>
      </c>
      <c r="F35" s="13">
        <f>0.3/100*$C35</f>
        <v>7.4999999999999997E-2</v>
      </c>
      <c r="G35" s="13">
        <f>0.3/100*$C35</f>
        <v>7.4999999999999997E-2</v>
      </c>
      <c r="H35" s="13">
        <f>0/100*$C35</f>
        <v>0</v>
      </c>
      <c r="I35" s="13">
        <f>0/100*$C35</f>
        <v>0</v>
      </c>
      <c r="J35" s="13">
        <f>0/100*$C35</f>
        <v>0</v>
      </c>
      <c r="K35" s="13">
        <f>25.967/100*$C35</f>
        <v>6.4917500000000006</v>
      </c>
      <c r="L35" s="13">
        <f>201.5/100*$C35</f>
        <v>50.375</v>
      </c>
      <c r="M35" s="13">
        <f>24.967/100*$C35</f>
        <v>6.2417499999999997</v>
      </c>
      <c r="N35" s="13">
        <f>2.2/100*$C35</f>
        <v>0.55000000000000004</v>
      </c>
      <c r="O35" s="13">
        <f>422.267/100*$C35</f>
        <v>105.56675</v>
      </c>
      <c r="P35" s="13">
        <v>7.65</v>
      </c>
    </row>
    <row r="36" spans="1:16" ht="20.100000000000001" customHeight="1">
      <c r="A36" s="8">
        <v>382</v>
      </c>
      <c r="B36" s="12" t="s">
        <v>32</v>
      </c>
      <c r="C36" s="16">
        <v>200</v>
      </c>
      <c r="D36" s="13">
        <v>3.78</v>
      </c>
      <c r="E36" s="13">
        <v>0.67</v>
      </c>
      <c r="F36" s="13">
        <v>26</v>
      </c>
      <c r="G36" s="13">
        <v>0.02</v>
      </c>
      <c r="H36" s="13">
        <v>1.33</v>
      </c>
      <c r="I36" s="13">
        <v>0</v>
      </c>
      <c r="J36" s="13">
        <v>0</v>
      </c>
      <c r="K36" s="13">
        <v>133.30000000000001</v>
      </c>
      <c r="L36" s="13">
        <v>111.11</v>
      </c>
      <c r="M36" s="13">
        <v>25.56</v>
      </c>
      <c r="N36" s="13">
        <v>2</v>
      </c>
      <c r="O36" s="13">
        <v>125.11</v>
      </c>
      <c r="P36" s="13">
        <v>8.8800000000000008</v>
      </c>
    </row>
    <row r="37" spans="1:16" ht="20.100000000000001" customHeight="1">
      <c r="A37" s="8" t="s">
        <v>20</v>
      </c>
      <c r="B37" s="12" t="s">
        <v>21</v>
      </c>
      <c r="C37" s="16">
        <v>50</v>
      </c>
      <c r="D37" s="13">
        <f>8/100*$C37</f>
        <v>4</v>
      </c>
      <c r="E37" s="13">
        <f>1.509/100*$C37</f>
        <v>0.75449999999999995</v>
      </c>
      <c r="F37" s="13">
        <f>40.127/100*$C37</f>
        <v>20.063500000000001</v>
      </c>
      <c r="G37" s="13">
        <f>0.072/100*$C37</f>
        <v>3.5999999999999997E-2</v>
      </c>
      <c r="H37" s="13">
        <f>0/100*$C37</f>
        <v>0</v>
      </c>
      <c r="I37" s="13">
        <f>0/100*$C37</f>
        <v>0</v>
      </c>
      <c r="J37" s="13">
        <f>2.36/100*$C37</f>
        <v>1.18</v>
      </c>
      <c r="K37" s="13">
        <f>33/100*$C37</f>
        <v>16.5</v>
      </c>
      <c r="L37" s="13">
        <f>234/100*$C37</f>
        <v>117</v>
      </c>
      <c r="M37" s="13">
        <f>66/100*$C37</f>
        <v>33</v>
      </c>
      <c r="N37" s="13">
        <f>4.4/100*$C37</f>
        <v>2.2000000000000002</v>
      </c>
      <c r="O37" s="13">
        <f>208/100*$C37</f>
        <v>104</v>
      </c>
      <c r="P37" s="13">
        <v>1.65</v>
      </c>
    </row>
    <row r="38" spans="1:16" ht="20.100000000000001" customHeight="1">
      <c r="A38" s="8" t="s">
        <v>20</v>
      </c>
      <c r="B38" s="12" t="s">
        <v>22</v>
      </c>
      <c r="C38" s="16">
        <v>50</v>
      </c>
      <c r="D38" s="13">
        <f>4.9/100*$C38</f>
        <v>2.4500000000000002</v>
      </c>
      <c r="E38" s="13">
        <f>1.1/100*$C38</f>
        <v>0.55000000000000004</v>
      </c>
      <c r="F38" s="13">
        <f>48.9/100*$C38</f>
        <v>24.45</v>
      </c>
      <c r="G38" s="13">
        <f>0.1/100*$C38</f>
        <v>0.05</v>
      </c>
      <c r="H38" s="13">
        <f>0/100*$C38</f>
        <v>0</v>
      </c>
      <c r="I38" s="13">
        <f>0/100*$C38</f>
        <v>0</v>
      </c>
      <c r="J38" s="13">
        <f>0.9/100*$C38</f>
        <v>0.45000000000000007</v>
      </c>
      <c r="K38" s="13">
        <f>23/100*$C38</f>
        <v>11.5</v>
      </c>
      <c r="L38" s="13">
        <f>106/100*$C38</f>
        <v>53</v>
      </c>
      <c r="M38" s="13">
        <f>25/100*$C38</f>
        <v>12.5</v>
      </c>
      <c r="N38" s="13">
        <f>3.1/100*$C38</f>
        <v>1.55</v>
      </c>
      <c r="O38" s="13">
        <f>200/100*$C38</f>
        <v>100</v>
      </c>
      <c r="P38" s="13">
        <v>2</v>
      </c>
    </row>
    <row r="39" spans="1:16" ht="20.100000000000001" customHeight="1">
      <c r="A39" s="8">
        <v>338</v>
      </c>
      <c r="B39" s="12" t="s">
        <v>98</v>
      </c>
      <c r="C39" s="8">
        <v>100</v>
      </c>
      <c r="D39" s="13">
        <f>0.622/100*$C39</f>
        <v>0.622</v>
      </c>
      <c r="E39" s="13">
        <f>0.622/100*$C39</f>
        <v>0.622</v>
      </c>
      <c r="F39" s="13">
        <f>15.256/100*$C39</f>
        <v>15.256</v>
      </c>
      <c r="G39" s="13">
        <f>0.0556/100*$C39</f>
        <v>5.5599999999999997E-2</v>
      </c>
      <c r="H39" s="13">
        <f>15.5/100*$C39</f>
        <v>15.5</v>
      </c>
      <c r="I39" s="13">
        <f>0/100*$C39</f>
        <v>0</v>
      </c>
      <c r="J39" s="13">
        <f>0.31/100*$C39</f>
        <v>0.31</v>
      </c>
      <c r="K39" s="13">
        <f>24.878/100*$C39</f>
        <v>24.878</v>
      </c>
      <c r="L39" s="13">
        <f>17.167/100*$C39</f>
        <v>17.167000000000002</v>
      </c>
      <c r="M39" s="13">
        <f>14/100*$C39</f>
        <v>14.000000000000002</v>
      </c>
      <c r="N39" s="13">
        <f>3.422/100*$C39</f>
        <v>3.4220000000000002</v>
      </c>
      <c r="O39" s="13">
        <f>73.122/100*$C39</f>
        <v>73.122</v>
      </c>
      <c r="P39" s="13">
        <v>17.25</v>
      </c>
    </row>
    <row r="40" spans="1:16" ht="20.100000000000001" customHeight="1">
      <c r="A40" s="12"/>
      <c r="B40" s="12" t="s">
        <v>23</v>
      </c>
      <c r="C40" s="17"/>
      <c r="D40" s="13">
        <f>SUM(D27,D28,D36,D37,D38,D39)</f>
        <v>10.852</v>
      </c>
      <c r="E40" s="13">
        <f t="shared" ref="E40:O40" si="4">SUM(E27,E28,E36,E37,E38,E39)</f>
        <v>2.5965000000000003</v>
      </c>
      <c r="F40" s="13">
        <f t="shared" si="4"/>
        <v>85.769500000000008</v>
      </c>
      <c r="G40" s="13">
        <f t="shared" si="4"/>
        <v>0.16159999999999999</v>
      </c>
      <c r="H40" s="13">
        <f t="shared" si="4"/>
        <v>16.829999999999998</v>
      </c>
      <c r="I40" s="13">
        <f t="shared" si="4"/>
        <v>0</v>
      </c>
      <c r="J40" s="13">
        <f t="shared" si="4"/>
        <v>1.94</v>
      </c>
      <c r="K40" s="13">
        <f t="shared" si="4"/>
        <v>186.178</v>
      </c>
      <c r="L40" s="13">
        <f t="shared" si="4"/>
        <v>298.27700000000004</v>
      </c>
      <c r="M40" s="13">
        <f t="shared" si="4"/>
        <v>85.06</v>
      </c>
      <c r="N40" s="13">
        <f t="shared" si="4"/>
        <v>9.1720000000000006</v>
      </c>
      <c r="O40" s="13">
        <f t="shared" si="4"/>
        <v>402.23200000000003</v>
      </c>
      <c r="P40" s="13">
        <v>55.63</v>
      </c>
    </row>
    <row r="41" spans="1:16" ht="20.100000000000001" customHeight="1">
      <c r="A41" s="32" t="s">
        <v>91</v>
      </c>
      <c r="B41" s="32"/>
      <c r="C41" s="10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1:16" ht="34.5" customHeight="1">
      <c r="A42" s="8">
        <v>71</v>
      </c>
      <c r="B42" s="12" t="s">
        <v>99</v>
      </c>
      <c r="C42" s="8">
        <v>40</v>
      </c>
      <c r="D42" s="14">
        <f>0.8/100*$C42</f>
        <v>0.32</v>
      </c>
      <c r="E42" s="14">
        <f>0.1/100*$C42</f>
        <v>0.04</v>
      </c>
      <c r="F42" s="14">
        <f>1.567/100*$C42</f>
        <v>0.62680000000000002</v>
      </c>
      <c r="G42" s="14">
        <f>0.0667/100*$C42</f>
        <v>2.6679999999999999E-2</v>
      </c>
      <c r="H42" s="14">
        <f>3.7667/100*$C42</f>
        <v>1.50668</v>
      </c>
      <c r="I42" s="14">
        <f>11.267/100*$C42</f>
        <v>4.5068000000000001</v>
      </c>
      <c r="J42" s="14">
        <f>0.067/100*$C42</f>
        <v>2.6800000000000001E-2</v>
      </c>
      <c r="K42" s="14">
        <f>17.267/100*$C42</f>
        <v>6.9067999999999996</v>
      </c>
      <c r="L42" s="14">
        <f>18/100*$C42</f>
        <v>7.1999999999999993</v>
      </c>
      <c r="M42" s="14">
        <f>10.5/100*$C42</f>
        <v>4.2</v>
      </c>
      <c r="N42" s="14">
        <f>0.467/100*$C42</f>
        <v>0.18680000000000002</v>
      </c>
      <c r="O42" s="14">
        <f>19.5/100*$C42</f>
        <v>7.8000000000000007</v>
      </c>
      <c r="P42" s="13">
        <v>8.11</v>
      </c>
    </row>
    <row r="43" spans="1:16" ht="20.100000000000001" customHeight="1">
      <c r="A43" s="8">
        <v>99</v>
      </c>
      <c r="B43" s="12" t="s">
        <v>33</v>
      </c>
      <c r="C43" s="8" t="s">
        <v>53</v>
      </c>
      <c r="D43" s="13">
        <v>1.41</v>
      </c>
      <c r="E43" s="13">
        <v>4.49</v>
      </c>
      <c r="F43" s="13">
        <v>7.52</v>
      </c>
      <c r="G43" s="13">
        <v>0.09</v>
      </c>
      <c r="H43" s="13">
        <v>10.1</v>
      </c>
      <c r="I43" s="13">
        <v>0.02</v>
      </c>
      <c r="J43" s="13">
        <v>1.44</v>
      </c>
      <c r="K43" s="13">
        <v>26.8</v>
      </c>
      <c r="L43" s="13">
        <v>57.04</v>
      </c>
      <c r="M43" s="13">
        <v>23.3</v>
      </c>
      <c r="N43" s="13">
        <v>0.83</v>
      </c>
      <c r="O43" s="13">
        <v>82.24</v>
      </c>
      <c r="P43" s="13">
        <v>9.42</v>
      </c>
    </row>
    <row r="44" spans="1:16" ht="20.100000000000001" customHeight="1">
      <c r="A44" s="8">
        <v>250</v>
      </c>
      <c r="B44" s="12" t="s">
        <v>35</v>
      </c>
      <c r="C44" s="8">
        <v>100</v>
      </c>
      <c r="D44" s="13">
        <f>22.1375/100*$C44</f>
        <v>22.137499999999999</v>
      </c>
      <c r="E44" s="13">
        <f>20.175/100*$C44</f>
        <v>20.175000000000001</v>
      </c>
      <c r="F44" s="13">
        <f>2.0125/100*$C44</f>
        <v>2.0125000000000002</v>
      </c>
      <c r="G44" s="13">
        <f>0.025/100*$C44</f>
        <v>2.5000000000000001E-2</v>
      </c>
      <c r="H44" s="13">
        <f>0.2375/100*$C44</f>
        <v>0.23749999999999999</v>
      </c>
      <c r="I44" s="13">
        <f>0.0625/100*$C44</f>
        <v>6.25E-2</v>
      </c>
      <c r="J44" s="13">
        <f>0.5375/100*$C44</f>
        <v>0.53749999999999998</v>
      </c>
      <c r="K44" s="13">
        <f>42.7875/100*$C44</f>
        <v>42.787500000000001</v>
      </c>
      <c r="L44" s="13">
        <f>168.3375/100*$C44</f>
        <v>168.33750000000001</v>
      </c>
      <c r="M44" s="13">
        <f>29.925/100*$C44</f>
        <v>29.925000000000001</v>
      </c>
      <c r="N44" s="13">
        <f>1.3875/100*$C44</f>
        <v>1.3875</v>
      </c>
      <c r="O44" s="13">
        <f>277.5/100*$C44</f>
        <v>277.5</v>
      </c>
      <c r="P44" s="13">
        <v>51.16</v>
      </c>
    </row>
    <row r="45" spans="1:16" ht="34.5" customHeight="1">
      <c r="A45" s="8">
        <v>309</v>
      </c>
      <c r="B45" s="12" t="s">
        <v>36</v>
      </c>
      <c r="C45" s="8">
        <v>150</v>
      </c>
      <c r="D45" s="13">
        <f>3.4/100*$C45</f>
        <v>5.1000000000000005</v>
      </c>
      <c r="E45" s="13">
        <f>5/100*$C45</f>
        <v>7.5</v>
      </c>
      <c r="F45" s="13">
        <f>19/100*$C45</f>
        <v>28.5</v>
      </c>
      <c r="G45" s="13">
        <f>0.04/100*$C45</f>
        <v>6.0000000000000005E-2</v>
      </c>
      <c r="H45" s="13">
        <f>0/100*$C45</f>
        <v>0</v>
      </c>
      <c r="I45" s="13">
        <f>0/100*$C45</f>
        <v>0</v>
      </c>
      <c r="J45" s="13">
        <f>1.3/100*$C45</f>
        <v>1.9500000000000002</v>
      </c>
      <c r="K45" s="13">
        <f>8/100*$C45</f>
        <v>12</v>
      </c>
      <c r="L45" s="13">
        <f>23/100*$C45</f>
        <v>34.5</v>
      </c>
      <c r="M45" s="13">
        <f>5/100*$C45</f>
        <v>7.5</v>
      </c>
      <c r="N45" s="13">
        <f>0.5/100*$C45</f>
        <v>0.75</v>
      </c>
      <c r="O45" s="13">
        <f>134.6/100*$C45</f>
        <v>201.89999999999998</v>
      </c>
      <c r="P45" s="13">
        <v>5.28</v>
      </c>
    </row>
    <row r="46" spans="1:16" ht="20.100000000000001" customHeight="1">
      <c r="A46" s="8" t="s">
        <v>20</v>
      </c>
      <c r="B46" s="12" t="s">
        <v>26</v>
      </c>
      <c r="C46" s="8">
        <v>200</v>
      </c>
      <c r="D46" s="13">
        <v>1</v>
      </c>
      <c r="E46" s="13">
        <v>0.2</v>
      </c>
      <c r="F46" s="13">
        <v>20</v>
      </c>
      <c r="G46" s="13">
        <v>0.02</v>
      </c>
      <c r="H46" s="13">
        <v>4</v>
      </c>
      <c r="I46" s="13">
        <v>0</v>
      </c>
      <c r="J46" s="13">
        <v>0.2</v>
      </c>
      <c r="K46" s="13">
        <v>14</v>
      </c>
      <c r="L46" s="13">
        <v>14</v>
      </c>
      <c r="M46" s="13">
        <v>8</v>
      </c>
      <c r="N46" s="13">
        <v>2.8</v>
      </c>
      <c r="O46" s="13">
        <v>65.8</v>
      </c>
      <c r="P46" s="13">
        <v>16.489999999999998</v>
      </c>
    </row>
    <row r="47" spans="1:16" ht="20.100000000000001" customHeight="1">
      <c r="A47" s="8" t="s">
        <v>20</v>
      </c>
      <c r="B47" s="12" t="s">
        <v>21</v>
      </c>
      <c r="C47" s="8">
        <v>50</v>
      </c>
      <c r="D47" s="13">
        <f>8/100*$C47</f>
        <v>4</v>
      </c>
      <c r="E47" s="13">
        <f>1.509/100*$C47</f>
        <v>0.75449999999999995</v>
      </c>
      <c r="F47" s="13">
        <f>40.127/100*$C47</f>
        <v>20.063500000000001</v>
      </c>
      <c r="G47" s="13">
        <f>0.072/100*$C47</f>
        <v>3.5999999999999997E-2</v>
      </c>
      <c r="H47" s="13">
        <f>0/100*$C47</f>
        <v>0</v>
      </c>
      <c r="I47" s="13">
        <f>0/100*$C47</f>
        <v>0</v>
      </c>
      <c r="J47" s="13">
        <f>2.36/100*$C47</f>
        <v>1.18</v>
      </c>
      <c r="K47" s="13">
        <f>33/100*$C47</f>
        <v>16.5</v>
      </c>
      <c r="L47" s="13">
        <f>234/100*$C47</f>
        <v>117</v>
      </c>
      <c r="M47" s="13">
        <f>66/100*$C47</f>
        <v>33</v>
      </c>
      <c r="N47" s="13">
        <f>4.4/100*$C47</f>
        <v>2.2000000000000002</v>
      </c>
      <c r="O47" s="13">
        <f>208/100*$C47</f>
        <v>104</v>
      </c>
      <c r="P47" s="13">
        <v>1.65</v>
      </c>
    </row>
    <row r="48" spans="1:16" ht="20.100000000000001" customHeight="1">
      <c r="A48" s="8" t="s">
        <v>20</v>
      </c>
      <c r="B48" s="12" t="s">
        <v>22</v>
      </c>
      <c r="C48" s="8">
        <v>70</v>
      </c>
      <c r="D48" s="13">
        <f>4.9/100*$C48</f>
        <v>3.43</v>
      </c>
      <c r="E48" s="13">
        <f>1.1/100*$C48</f>
        <v>0.77000000000000013</v>
      </c>
      <c r="F48" s="13">
        <f>48.9/100*$C48</f>
        <v>34.229999999999997</v>
      </c>
      <c r="G48" s="13">
        <f>0.1/100*$C48</f>
        <v>7.0000000000000007E-2</v>
      </c>
      <c r="H48" s="13">
        <f>0/100*$C48</f>
        <v>0</v>
      </c>
      <c r="I48" s="13">
        <f>0/100*$C48</f>
        <v>0</v>
      </c>
      <c r="J48" s="13">
        <f>0.9/100*$C48</f>
        <v>0.63000000000000012</v>
      </c>
      <c r="K48" s="13">
        <f>23/100*$C48</f>
        <v>16.100000000000001</v>
      </c>
      <c r="L48" s="13">
        <f>106/100*$C48</f>
        <v>74.2</v>
      </c>
      <c r="M48" s="13">
        <f>25/100*$C48</f>
        <v>17.5</v>
      </c>
      <c r="N48" s="13">
        <f>3.1/100*$C48</f>
        <v>2.17</v>
      </c>
      <c r="O48" s="13">
        <f>200/100*$C48</f>
        <v>140</v>
      </c>
      <c r="P48" s="13">
        <v>2.8</v>
      </c>
    </row>
    <row r="49" spans="1:16" ht="20.100000000000001" customHeight="1">
      <c r="A49" s="12"/>
      <c r="B49" s="12" t="s">
        <v>27</v>
      </c>
      <c r="C49" s="12"/>
      <c r="D49" s="13">
        <f t="shared" ref="D49:O49" si="5">SUM(D42:D48)</f>
        <v>37.397500000000001</v>
      </c>
      <c r="E49" s="13">
        <f t="shared" si="5"/>
        <v>33.929500000000004</v>
      </c>
      <c r="F49" s="13">
        <f t="shared" si="5"/>
        <v>112.9528</v>
      </c>
      <c r="G49" s="13">
        <f t="shared" si="5"/>
        <v>0.32767999999999997</v>
      </c>
      <c r="H49" s="13">
        <f t="shared" si="5"/>
        <v>15.84418</v>
      </c>
      <c r="I49" s="13">
        <f t="shared" si="5"/>
        <v>4.5892999999999997</v>
      </c>
      <c r="J49" s="13">
        <f t="shared" si="5"/>
        <v>5.9642999999999997</v>
      </c>
      <c r="K49" s="13">
        <f t="shared" si="5"/>
        <v>135.0943</v>
      </c>
      <c r="L49" s="13">
        <f t="shared" si="5"/>
        <v>472.27749999999997</v>
      </c>
      <c r="M49" s="13">
        <f t="shared" si="5"/>
        <v>123.425</v>
      </c>
      <c r="N49" s="13">
        <f t="shared" si="5"/>
        <v>10.324299999999999</v>
      </c>
      <c r="O49" s="13">
        <f t="shared" si="5"/>
        <v>879.2399999999999</v>
      </c>
      <c r="P49" s="13">
        <v>94.91</v>
      </c>
    </row>
    <row r="50" spans="1:16" ht="20.100000000000001" customHeight="1">
      <c r="A50" s="12"/>
      <c r="B50" s="12" t="s">
        <v>28</v>
      </c>
      <c r="C50" s="12"/>
      <c r="D50" s="13">
        <f t="shared" ref="D50:O50" si="6">SUM(D40,D49)</f>
        <v>48.249499999999998</v>
      </c>
      <c r="E50" s="13">
        <f t="shared" si="6"/>
        <v>36.526000000000003</v>
      </c>
      <c r="F50" s="13">
        <f t="shared" si="6"/>
        <v>198.72230000000002</v>
      </c>
      <c r="G50" s="13">
        <f t="shared" si="6"/>
        <v>0.48927999999999994</v>
      </c>
      <c r="H50" s="13">
        <f t="shared" si="6"/>
        <v>32.67418</v>
      </c>
      <c r="I50" s="13">
        <f t="shared" si="6"/>
        <v>4.5892999999999997</v>
      </c>
      <c r="J50" s="13">
        <f t="shared" si="6"/>
        <v>7.9042999999999992</v>
      </c>
      <c r="K50" s="13">
        <f t="shared" si="6"/>
        <v>321.27229999999997</v>
      </c>
      <c r="L50" s="13">
        <f t="shared" si="6"/>
        <v>770.55449999999996</v>
      </c>
      <c r="M50" s="13">
        <f t="shared" si="6"/>
        <v>208.48500000000001</v>
      </c>
      <c r="N50" s="13">
        <f t="shared" si="6"/>
        <v>19.496299999999998</v>
      </c>
      <c r="O50" s="13">
        <f t="shared" si="6"/>
        <v>1281.472</v>
      </c>
      <c r="P50" s="13">
        <v>150.54</v>
      </c>
    </row>
    <row r="51" spans="1:16" ht="20.100000000000001" customHeight="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</row>
    <row r="52" spans="1:16" ht="20.100000000000001" customHeight="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</row>
    <row r="53" spans="1:16" ht="20.100000000000001" customHeight="1">
      <c r="A53" s="24"/>
      <c r="B53" s="26" t="s">
        <v>29</v>
      </c>
      <c r="C53" s="26"/>
      <c r="D53" s="26"/>
      <c r="E53" s="24"/>
      <c r="F53" s="24"/>
      <c r="G53" s="24"/>
      <c r="H53" s="24"/>
      <c r="I53" s="24"/>
      <c r="J53" s="15" t="s">
        <v>30</v>
      </c>
      <c r="K53" s="15"/>
      <c r="L53" s="15"/>
      <c r="M53" s="15"/>
      <c r="N53" s="24"/>
      <c r="O53" s="24"/>
      <c r="P53" s="24"/>
    </row>
    <row r="54" spans="1:16" ht="20.100000000000001" customHeight="1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</row>
    <row r="55" spans="1:16" ht="20.100000000000001" customHeight="1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</row>
    <row r="56" spans="1:16" ht="20.100000000000001" customHeight="1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</row>
    <row r="57" spans="1:16" ht="20.100000000000001" customHeight="1">
      <c r="A57" s="32" t="s">
        <v>90</v>
      </c>
      <c r="B57" s="32"/>
      <c r="C57" s="10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1:16" ht="20.100000000000001" customHeight="1">
      <c r="A58" s="8">
        <v>265</v>
      </c>
      <c r="B58" s="12" t="s">
        <v>38</v>
      </c>
      <c r="C58" s="8">
        <v>100</v>
      </c>
      <c r="D58" s="14">
        <f>10.99/100*$C58</f>
        <v>10.99</v>
      </c>
      <c r="E58" s="13">
        <f>11.257/100*$C58</f>
        <v>11.257</v>
      </c>
      <c r="F58" s="13">
        <f>17.35/100*$C58</f>
        <v>17.350000000000001</v>
      </c>
      <c r="G58" s="13">
        <f>0.0357/100*$C58</f>
        <v>3.5700000000000003E-2</v>
      </c>
      <c r="H58" s="13">
        <f>0.85/100*$C58</f>
        <v>0.85000000000000009</v>
      </c>
      <c r="I58" s="13">
        <f>0/100*$C58</f>
        <v>0</v>
      </c>
      <c r="J58" s="13">
        <f>0/100*$C58</f>
        <v>0</v>
      </c>
      <c r="K58" s="13">
        <f>9.4857/100*$C58</f>
        <v>9.4856999999999996</v>
      </c>
      <c r="L58" s="13">
        <f>133.4/100*$C58</f>
        <v>133.4</v>
      </c>
      <c r="M58" s="13">
        <f>26.22/100*$C58</f>
        <v>26.22</v>
      </c>
      <c r="N58" s="13">
        <f>1.764/100*$C58</f>
        <v>1.764</v>
      </c>
      <c r="O58" s="13">
        <f>214.657/100*$C58</f>
        <v>214.65700000000001</v>
      </c>
      <c r="P58" s="13">
        <v>30.88</v>
      </c>
    </row>
    <row r="59" spans="1:16" ht="20.100000000000001" customHeight="1">
      <c r="A59" s="8">
        <v>376</v>
      </c>
      <c r="B59" s="12" t="s">
        <v>44</v>
      </c>
      <c r="C59" s="8">
        <v>200</v>
      </c>
      <c r="D59" s="14">
        <v>7.0000000000000007E-2</v>
      </c>
      <c r="E59" s="13">
        <v>0</v>
      </c>
      <c r="F59" s="13">
        <v>15</v>
      </c>
      <c r="G59" s="13">
        <v>0</v>
      </c>
      <c r="H59" s="13">
        <v>0.27</v>
      </c>
      <c r="I59" s="13">
        <v>0</v>
      </c>
      <c r="J59" s="13">
        <v>0</v>
      </c>
      <c r="K59" s="13">
        <v>13.6</v>
      </c>
      <c r="L59" s="13">
        <v>22.13</v>
      </c>
      <c r="M59" s="13">
        <v>11.73</v>
      </c>
      <c r="N59" s="13">
        <v>2.13</v>
      </c>
      <c r="O59" s="13">
        <v>60</v>
      </c>
      <c r="P59" s="13">
        <v>1.42</v>
      </c>
    </row>
    <row r="60" spans="1:16" ht="20.100000000000001" customHeight="1">
      <c r="A60" s="8" t="s">
        <v>20</v>
      </c>
      <c r="B60" s="12" t="s">
        <v>21</v>
      </c>
      <c r="C60" s="8">
        <v>50</v>
      </c>
      <c r="D60" s="14">
        <f>8/100*$C60</f>
        <v>4</v>
      </c>
      <c r="E60" s="13">
        <f>1.509/100*$C60</f>
        <v>0.75449999999999995</v>
      </c>
      <c r="F60" s="13">
        <f>40.127/100*$C60</f>
        <v>20.063500000000001</v>
      </c>
      <c r="G60" s="13">
        <f>0.072/100*$C60</f>
        <v>3.5999999999999997E-2</v>
      </c>
      <c r="H60" s="13">
        <f>0/100*$C60</f>
        <v>0</v>
      </c>
      <c r="I60" s="13">
        <f>0/100*$C60</f>
        <v>0</v>
      </c>
      <c r="J60" s="13">
        <f>2.36/100*$C60</f>
        <v>1.18</v>
      </c>
      <c r="K60" s="13">
        <f>33/100*$C60</f>
        <v>16.5</v>
      </c>
      <c r="L60" s="13">
        <f>234/100*$C60</f>
        <v>117</v>
      </c>
      <c r="M60" s="13">
        <f>66/100*$C60</f>
        <v>33</v>
      </c>
      <c r="N60" s="13">
        <f>4.4/100*$C60</f>
        <v>2.2000000000000002</v>
      </c>
      <c r="O60" s="13">
        <f>208/100*$C60</f>
        <v>104</v>
      </c>
      <c r="P60" s="13">
        <v>1.65</v>
      </c>
    </row>
    <row r="61" spans="1:16" ht="20.100000000000001" customHeight="1">
      <c r="A61" s="8" t="s">
        <v>20</v>
      </c>
      <c r="B61" s="12" t="s">
        <v>22</v>
      </c>
      <c r="C61" s="8">
        <v>50</v>
      </c>
      <c r="D61" s="14">
        <f>4.9/100*$C61</f>
        <v>2.4500000000000002</v>
      </c>
      <c r="E61" s="13">
        <f>1.1/100*$C61</f>
        <v>0.55000000000000004</v>
      </c>
      <c r="F61" s="13">
        <f>48.9/100*$C61</f>
        <v>24.45</v>
      </c>
      <c r="G61" s="13">
        <f>0.1/100*$C61</f>
        <v>0.05</v>
      </c>
      <c r="H61" s="13">
        <f>0/100*$C61</f>
        <v>0</v>
      </c>
      <c r="I61" s="13">
        <f>0/100*$C61</f>
        <v>0</v>
      </c>
      <c r="J61" s="13">
        <f>0.9/100*$C61</f>
        <v>0.45000000000000007</v>
      </c>
      <c r="K61" s="13">
        <f>23/100*$C61</f>
        <v>11.5</v>
      </c>
      <c r="L61" s="13">
        <f>106/100*$C61</f>
        <v>53</v>
      </c>
      <c r="M61" s="13">
        <f>25/100*$C61</f>
        <v>12.5</v>
      </c>
      <c r="N61" s="13">
        <f>3.1/100*$C61</f>
        <v>1.55</v>
      </c>
      <c r="O61" s="13">
        <f>200/100*$C61</f>
        <v>100</v>
      </c>
      <c r="P61" s="13">
        <v>2</v>
      </c>
    </row>
    <row r="62" spans="1:16" ht="20.100000000000001" customHeight="1">
      <c r="A62" s="8">
        <v>338</v>
      </c>
      <c r="B62" s="12" t="s">
        <v>100</v>
      </c>
      <c r="C62" s="8">
        <v>300</v>
      </c>
      <c r="D62" s="13">
        <f>0.622/100*$C62</f>
        <v>1.8659999999999999</v>
      </c>
      <c r="E62" s="13">
        <f>0.622/100*$C62</f>
        <v>1.8659999999999999</v>
      </c>
      <c r="F62" s="13">
        <f>15.256/100*$C62</f>
        <v>45.768000000000001</v>
      </c>
      <c r="G62" s="13">
        <f>0.0556/100*$C62</f>
        <v>0.16679999999999998</v>
      </c>
      <c r="H62" s="13">
        <f>15.5/100*$C62</f>
        <v>46.5</v>
      </c>
      <c r="I62" s="13">
        <f>0/100*$C62</f>
        <v>0</v>
      </c>
      <c r="J62" s="13">
        <f>0.31/100*$C62</f>
        <v>0.92999999999999994</v>
      </c>
      <c r="K62" s="13">
        <f>24.878/100*$C62</f>
        <v>74.634</v>
      </c>
      <c r="L62" s="13">
        <f>17.167/100*$C62</f>
        <v>51.501000000000005</v>
      </c>
      <c r="M62" s="13">
        <f>14/100*$C62</f>
        <v>42.000000000000007</v>
      </c>
      <c r="N62" s="13">
        <f>3.422/100*$C62</f>
        <v>10.266</v>
      </c>
      <c r="O62" s="13">
        <f>73.122/100*$C62</f>
        <v>219.36599999999999</v>
      </c>
      <c r="P62" s="13">
        <v>54</v>
      </c>
    </row>
    <row r="63" spans="1:16" ht="20.100000000000001" customHeight="1">
      <c r="A63" s="12"/>
      <c r="B63" s="12" t="s">
        <v>23</v>
      </c>
      <c r="C63" s="12"/>
      <c r="D63" s="13">
        <f>SUM(D58:D62)</f>
        <v>19.376000000000001</v>
      </c>
      <c r="E63" s="13">
        <f t="shared" ref="E63:O63" si="7">SUM(E58:E62)</f>
        <v>14.4275</v>
      </c>
      <c r="F63" s="13">
        <f t="shared" si="7"/>
        <v>122.6315</v>
      </c>
      <c r="G63" s="13">
        <f t="shared" si="7"/>
        <v>0.28849999999999998</v>
      </c>
      <c r="H63" s="13">
        <f t="shared" si="7"/>
        <v>47.62</v>
      </c>
      <c r="I63" s="13">
        <f t="shared" si="7"/>
        <v>0</v>
      </c>
      <c r="J63" s="13">
        <f t="shared" si="7"/>
        <v>2.5599999999999996</v>
      </c>
      <c r="K63" s="13">
        <f t="shared" si="7"/>
        <v>125.7197</v>
      </c>
      <c r="L63" s="13">
        <f t="shared" si="7"/>
        <v>377.03099999999995</v>
      </c>
      <c r="M63" s="13">
        <f t="shared" si="7"/>
        <v>125.45000000000002</v>
      </c>
      <c r="N63" s="13">
        <f t="shared" si="7"/>
        <v>17.91</v>
      </c>
      <c r="O63" s="13">
        <f t="shared" si="7"/>
        <v>698.02300000000002</v>
      </c>
      <c r="P63" s="13">
        <v>89.95</v>
      </c>
    </row>
    <row r="64" spans="1:16" ht="20.100000000000001" customHeight="1">
      <c r="A64" s="32" t="s">
        <v>89</v>
      </c>
      <c r="B64" s="32"/>
      <c r="C64" s="10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</row>
    <row r="65" spans="1:18" ht="34.5" customHeight="1">
      <c r="A65" s="8">
        <v>71</v>
      </c>
      <c r="B65" s="12" t="s">
        <v>95</v>
      </c>
      <c r="C65" s="8">
        <v>40</v>
      </c>
      <c r="D65" s="14">
        <f>0.8/100*$C65</f>
        <v>0.32</v>
      </c>
      <c r="E65" s="14">
        <f>0.1/100*$C65</f>
        <v>0.04</v>
      </c>
      <c r="F65" s="14">
        <f>1.567/100*$C65</f>
        <v>0.62680000000000002</v>
      </c>
      <c r="G65" s="14">
        <f>0.0667/100*$C65</f>
        <v>2.6679999999999999E-2</v>
      </c>
      <c r="H65" s="14">
        <f>3.7667/100*$C65</f>
        <v>1.50668</v>
      </c>
      <c r="I65" s="14">
        <f>11.267/100*$C65</f>
        <v>4.5068000000000001</v>
      </c>
      <c r="J65" s="14">
        <f>0.067/100*$C65</f>
        <v>2.6800000000000001E-2</v>
      </c>
      <c r="K65" s="14">
        <f>17.267/100*$C65</f>
        <v>6.9067999999999996</v>
      </c>
      <c r="L65" s="14">
        <f>18/100*$C65</f>
        <v>7.1999999999999993</v>
      </c>
      <c r="M65" s="14">
        <f>10.5/100*$C65</f>
        <v>4.2</v>
      </c>
      <c r="N65" s="14">
        <f>0.467/100*$C65</f>
        <v>0.18680000000000002</v>
      </c>
      <c r="O65" s="14">
        <f>19.5/100*$C65</f>
        <v>7.8000000000000007</v>
      </c>
      <c r="P65" s="13">
        <v>8.44</v>
      </c>
    </row>
    <row r="66" spans="1:18" ht="34.5" customHeight="1">
      <c r="A66" s="8">
        <v>82</v>
      </c>
      <c r="B66" s="12" t="s">
        <v>39</v>
      </c>
      <c r="C66" s="8" t="s">
        <v>34</v>
      </c>
      <c r="D66" s="13">
        <v>1.6</v>
      </c>
      <c r="E66" s="13">
        <v>4.4000000000000004</v>
      </c>
      <c r="F66" s="13">
        <v>8.9499999999999993</v>
      </c>
      <c r="G66" s="13">
        <v>0.05</v>
      </c>
      <c r="H66" s="13">
        <v>10.3</v>
      </c>
      <c r="I66" s="13">
        <v>0</v>
      </c>
      <c r="J66" s="13">
        <v>2.4</v>
      </c>
      <c r="K66" s="13">
        <v>34.5</v>
      </c>
      <c r="L66" s="13">
        <v>53</v>
      </c>
      <c r="M66" s="13">
        <v>26.25</v>
      </c>
      <c r="N66" s="13">
        <v>0.68</v>
      </c>
      <c r="O66" s="13">
        <v>89</v>
      </c>
      <c r="P66" s="13">
        <v>11.87</v>
      </c>
    </row>
    <row r="67" spans="1:18" ht="20.100000000000001" customHeight="1">
      <c r="A67" s="8">
        <v>229</v>
      </c>
      <c r="B67" s="12" t="s">
        <v>40</v>
      </c>
      <c r="C67" s="8">
        <v>100</v>
      </c>
      <c r="D67" s="14">
        <f>12.66/100*$C67</f>
        <v>12.659999999999998</v>
      </c>
      <c r="E67" s="14">
        <f>5.31/100*$C67</f>
        <v>5.31</v>
      </c>
      <c r="F67" s="14">
        <f>0.99/100*$C67</f>
        <v>0.98999999999999988</v>
      </c>
      <c r="G67" s="14">
        <f>0.06/100*$C67</f>
        <v>0.06</v>
      </c>
      <c r="H67" s="14">
        <f>0.62/100*$C67</f>
        <v>0.62</v>
      </c>
      <c r="I67" s="14">
        <f>0.01/100*$C67</f>
        <v>0.01</v>
      </c>
      <c r="J67" s="14">
        <f>1.3/100*$C67</f>
        <v>1.3</v>
      </c>
      <c r="K67" s="14">
        <f>40.3/100*$C67</f>
        <v>40.299999999999997</v>
      </c>
      <c r="L67" s="14">
        <f>152.46/100*$C67</f>
        <v>152.46</v>
      </c>
      <c r="M67" s="14">
        <f>37.1/100*$C67</f>
        <v>37.1</v>
      </c>
      <c r="N67" s="14">
        <f>0.78/100*$C67</f>
        <v>0.78</v>
      </c>
      <c r="O67" s="14">
        <f>93.8/100*$C67</f>
        <v>93.8</v>
      </c>
      <c r="P67" s="13">
        <v>20.23</v>
      </c>
    </row>
    <row r="68" spans="1:18" ht="20.100000000000001" customHeight="1">
      <c r="A68" s="8">
        <v>128</v>
      </c>
      <c r="B68" s="12" t="s">
        <v>41</v>
      </c>
      <c r="C68" s="8">
        <v>150</v>
      </c>
      <c r="D68" s="14">
        <f>2.46/100*$C68</f>
        <v>3.69</v>
      </c>
      <c r="E68" s="14">
        <f>4.6/100*$C68</f>
        <v>6.8999999999999995</v>
      </c>
      <c r="F68" s="14">
        <f>16.14/100*$C68</f>
        <v>24.21</v>
      </c>
      <c r="G68" s="14">
        <f>0.11/100*$C68</f>
        <v>0.16500000000000001</v>
      </c>
      <c r="H68" s="14">
        <f>14.25/100*$C68</f>
        <v>21.374999999999996</v>
      </c>
      <c r="I68" s="14">
        <f>0.15/100*$C68</f>
        <v>0.22500000000000001</v>
      </c>
      <c r="J68" s="14">
        <f>0.02/100*$C68</f>
        <v>3.0000000000000002E-2</v>
      </c>
      <c r="K68" s="14">
        <f>33.57/100*$C68</f>
        <v>50.354999999999997</v>
      </c>
      <c r="L68" s="14">
        <f>69.22/100*$C68</f>
        <v>103.83000000000001</v>
      </c>
      <c r="M68" s="14">
        <f>23.64/100*$C68</f>
        <v>35.46</v>
      </c>
      <c r="N68" s="14">
        <f t="shared" ref="N68" si="8">0.8/100*$C68</f>
        <v>1.2</v>
      </c>
      <c r="O68" s="14">
        <f>115.73/100*$C68</f>
        <v>173.595</v>
      </c>
      <c r="P68" s="13">
        <v>11.85</v>
      </c>
      <c r="Q68" s="5"/>
      <c r="R68" s="5"/>
    </row>
    <row r="69" spans="1:18" s="1" customFormat="1" ht="18" customHeight="1">
      <c r="A69" s="8">
        <v>948</v>
      </c>
      <c r="B69" s="12" t="s">
        <v>101</v>
      </c>
      <c r="C69" s="8">
        <v>200</v>
      </c>
      <c r="D69" s="13">
        <v>0.8</v>
      </c>
      <c r="E69" s="13" t="s">
        <v>102</v>
      </c>
      <c r="F69" s="13">
        <v>25.8</v>
      </c>
      <c r="G69" s="13">
        <v>0.02</v>
      </c>
      <c r="H69" s="13">
        <v>0.4</v>
      </c>
      <c r="I69" s="13">
        <v>7.0000000000000007E-2</v>
      </c>
      <c r="J69" s="13">
        <v>1</v>
      </c>
      <c r="K69" s="13">
        <v>32</v>
      </c>
      <c r="L69" s="13">
        <v>26</v>
      </c>
      <c r="M69" s="13">
        <v>16</v>
      </c>
      <c r="N69" s="13">
        <v>0.6</v>
      </c>
      <c r="O69" s="13">
        <v>118</v>
      </c>
      <c r="P69" s="13">
        <v>3.82</v>
      </c>
      <c r="Q69" s="2"/>
      <c r="R69" s="2"/>
    </row>
    <row r="70" spans="1:18" ht="20.100000000000001" customHeight="1">
      <c r="A70" s="8" t="s">
        <v>20</v>
      </c>
      <c r="B70" s="12" t="s">
        <v>21</v>
      </c>
      <c r="C70" s="8">
        <v>60</v>
      </c>
      <c r="D70" s="14">
        <f>8/100*$C70</f>
        <v>4.8</v>
      </c>
      <c r="E70" s="13">
        <f>1.509/100*$C70</f>
        <v>0.90539999999999998</v>
      </c>
      <c r="F70" s="13">
        <f>40.127/100*$C70</f>
        <v>24.0762</v>
      </c>
      <c r="G70" s="13">
        <f>0.072/100*$C70</f>
        <v>4.3199999999999995E-2</v>
      </c>
      <c r="H70" s="13">
        <f>0/100*$C70</f>
        <v>0</v>
      </c>
      <c r="I70" s="13">
        <f>0/100*$C70</f>
        <v>0</v>
      </c>
      <c r="J70" s="13">
        <f>2.36/100*$C70</f>
        <v>1.4159999999999999</v>
      </c>
      <c r="K70" s="13">
        <f>33/100*$C70</f>
        <v>19.8</v>
      </c>
      <c r="L70" s="13">
        <f>234/100*$C70</f>
        <v>140.39999999999998</v>
      </c>
      <c r="M70" s="13">
        <f>66/100*$C70</f>
        <v>39.6</v>
      </c>
      <c r="N70" s="13">
        <f>4.4/100*$C70</f>
        <v>2.64</v>
      </c>
      <c r="O70" s="13">
        <f>208/100*$C70</f>
        <v>124.80000000000001</v>
      </c>
      <c r="P70" s="13">
        <v>1.98</v>
      </c>
      <c r="Q70" s="5"/>
      <c r="R70" s="5"/>
    </row>
    <row r="71" spans="1:18" ht="20.100000000000001" customHeight="1">
      <c r="A71" s="8" t="s">
        <v>20</v>
      </c>
      <c r="B71" s="12" t="s">
        <v>22</v>
      </c>
      <c r="C71" s="8">
        <v>60</v>
      </c>
      <c r="D71" s="14">
        <f>4.9/100*$C71</f>
        <v>2.94</v>
      </c>
      <c r="E71" s="13">
        <f>1.1/100*$C71</f>
        <v>0.66</v>
      </c>
      <c r="F71" s="13">
        <f>48.9/100*$C71</f>
        <v>29.34</v>
      </c>
      <c r="G71" s="13">
        <f>0.1/100*$C71</f>
        <v>0.06</v>
      </c>
      <c r="H71" s="13">
        <f>0/100*$C71</f>
        <v>0</v>
      </c>
      <c r="I71" s="13">
        <f>0/100*$C71</f>
        <v>0</v>
      </c>
      <c r="J71" s="13">
        <f>0.9/100*$C71</f>
        <v>0.54</v>
      </c>
      <c r="K71" s="13">
        <f>23/100*$C71</f>
        <v>13.8</v>
      </c>
      <c r="L71" s="13">
        <f>106/100*$C71</f>
        <v>63.6</v>
      </c>
      <c r="M71" s="13">
        <f>25/100*$C71</f>
        <v>15</v>
      </c>
      <c r="N71" s="13">
        <f>3.1/100*$C71</f>
        <v>1.8599999999999999</v>
      </c>
      <c r="O71" s="13">
        <f>200/100*$C71</f>
        <v>120</v>
      </c>
      <c r="P71" s="13">
        <v>2.4</v>
      </c>
    </row>
    <row r="72" spans="1:18" ht="20.100000000000001" customHeight="1">
      <c r="A72" s="12"/>
      <c r="B72" s="12" t="s">
        <v>27</v>
      </c>
      <c r="C72" s="12"/>
      <c r="D72" s="13">
        <f t="shared" ref="D72:O72" si="9">SUM(D65:D71)</f>
        <v>26.810000000000002</v>
      </c>
      <c r="E72" s="13">
        <f t="shared" si="9"/>
        <v>18.215399999999999</v>
      </c>
      <c r="F72" s="13">
        <f t="shared" si="9"/>
        <v>113.99300000000001</v>
      </c>
      <c r="G72" s="13">
        <f t="shared" si="9"/>
        <v>0.42488000000000004</v>
      </c>
      <c r="H72" s="13">
        <f t="shared" si="9"/>
        <v>34.201679999999996</v>
      </c>
      <c r="I72" s="13">
        <f t="shared" si="9"/>
        <v>4.8117999999999999</v>
      </c>
      <c r="J72" s="13">
        <f t="shared" si="9"/>
        <v>6.7128000000000005</v>
      </c>
      <c r="K72" s="13">
        <f t="shared" si="9"/>
        <v>197.6618</v>
      </c>
      <c r="L72" s="13">
        <f t="shared" si="9"/>
        <v>546.49</v>
      </c>
      <c r="M72" s="13">
        <f t="shared" si="9"/>
        <v>173.60999999999999</v>
      </c>
      <c r="N72" s="13">
        <f t="shared" si="9"/>
        <v>7.9467999999999996</v>
      </c>
      <c r="O72" s="13">
        <f t="shared" si="9"/>
        <v>726.995</v>
      </c>
      <c r="P72" s="13">
        <v>60.59</v>
      </c>
    </row>
    <row r="73" spans="1:18" ht="20.100000000000001" customHeight="1">
      <c r="A73" s="12"/>
      <c r="B73" s="12" t="s">
        <v>28</v>
      </c>
      <c r="C73" s="12"/>
      <c r="D73" s="13">
        <f t="shared" ref="D73:O73" si="10">SUM(D63,D72)</f>
        <v>46.186000000000007</v>
      </c>
      <c r="E73" s="13">
        <f t="shared" si="10"/>
        <v>32.642899999999997</v>
      </c>
      <c r="F73" s="13">
        <f t="shared" si="10"/>
        <v>236.62450000000001</v>
      </c>
      <c r="G73" s="13">
        <f t="shared" si="10"/>
        <v>0.71338000000000001</v>
      </c>
      <c r="H73" s="13">
        <f t="shared" si="10"/>
        <v>81.821679999999986</v>
      </c>
      <c r="I73" s="13">
        <f t="shared" si="10"/>
        <v>4.8117999999999999</v>
      </c>
      <c r="J73" s="13">
        <f t="shared" si="10"/>
        <v>9.2728000000000002</v>
      </c>
      <c r="K73" s="13">
        <f t="shared" si="10"/>
        <v>323.38150000000002</v>
      </c>
      <c r="L73" s="13">
        <f t="shared" si="10"/>
        <v>923.52099999999996</v>
      </c>
      <c r="M73" s="13">
        <f t="shared" si="10"/>
        <v>299.06</v>
      </c>
      <c r="N73" s="13">
        <f t="shared" si="10"/>
        <v>25.8568</v>
      </c>
      <c r="O73" s="13">
        <f t="shared" si="10"/>
        <v>1425.018</v>
      </c>
      <c r="P73" s="13">
        <v>150.54</v>
      </c>
    </row>
    <row r="74" spans="1:18" ht="20.100000000000001" customHeight="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</row>
    <row r="75" spans="1:18" ht="20.100000000000001" customHeight="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</row>
    <row r="76" spans="1:18" ht="20.100000000000001" customHeight="1">
      <c r="A76" s="24"/>
      <c r="B76" s="26" t="s">
        <v>29</v>
      </c>
      <c r="C76" s="26"/>
      <c r="D76" s="26"/>
      <c r="E76" s="24"/>
      <c r="F76" s="24"/>
      <c r="G76" s="24"/>
      <c r="H76" s="24"/>
      <c r="I76" s="24"/>
      <c r="J76" s="15" t="s">
        <v>30</v>
      </c>
      <c r="K76" s="15"/>
      <c r="L76" s="15"/>
      <c r="M76" s="15"/>
      <c r="N76" s="24"/>
      <c r="O76" s="24"/>
      <c r="P76" s="24"/>
    </row>
    <row r="77" spans="1:18" ht="20.100000000000001" customHeight="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</row>
    <row r="78" spans="1:18" ht="20.100000000000001" customHeight="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</row>
    <row r="79" spans="1:18" ht="20.100000000000001" customHeight="1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</row>
    <row r="80" spans="1:18" ht="20.100000000000001" customHeight="1">
      <c r="A80" s="27" t="s">
        <v>88</v>
      </c>
      <c r="B80" s="28"/>
      <c r="C80" s="18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</row>
    <row r="81" spans="1:16" ht="20.100000000000001" customHeight="1">
      <c r="A81" s="8">
        <v>181</v>
      </c>
      <c r="B81" s="12" t="s">
        <v>103</v>
      </c>
      <c r="C81" s="8">
        <v>200</v>
      </c>
      <c r="D81" s="14">
        <v>6.01</v>
      </c>
      <c r="E81" s="14">
        <v>3.52</v>
      </c>
      <c r="F81" s="14">
        <v>32.25</v>
      </c>
      <c r="G81" s="14">
        <v>0.08</v>
      </c>
      <c r="H81" s="14">
        <v>1.17</v>
      </c>
      <c r="I81" s="14">
        <v>0.18</v>
      </c>
      <c r="J81" s="14">
        <v>0</v>
      </c>
      <c r="K81" s="14">
        <v>131.30000000000001</v>
      </c>
      <c r="L81" s="14">
        <v>115.19</v>
      </c>
      <c r="M81" s="14">
        <v>20.3</v>
      </c>
      <c r="N81" s="14">
        <v>0.47</v>
      </c>
      <c r="O81" s="14">
        <v>185.28</v>
      </c>
      <c r="P81" s="13">
        <v>6.89</v>
      </c>
    </row>
    <row r="82" spans="1:16" ht="26.25" customHeight="1">
      <c r="A82" s="8">
        <v>14</v>
      </c>
      <c r="B82" s="12" t="s">
        <v>92</v>
      </c>
      <c r="C82" s="20">
        <v>10</v>
      </c>
      <c r="D82" s="21">
        <v>0.1</v>
      </c>
      <c r="E82" s="21">
        <v>7.2</v>
      </c>
      <c r="F82" s="21">
        <v>0.13</v>
      </c>
      <c r="G82" s="21">
        <v>0</v>
      </c>
      <c r="H82" s="21">
        <v>0</v>
      </c>
      <c r="I82" s="21">
        <v>0.4</v>
      </c>
      <c r="J82" s="21">
        <v>0.01</v>
      </c>
      <c r="K82" s="21">
        <v>2.4</v>
      </c>
      <c r="L82" s="21">
        <v>3</v>
      </c>
      <c r="M82" s="21">
        <v>0</v>
      </c>
      <c r="N82" s="21">
        <v>0</v>
      </c>
      <c r="O82" s="21">
        <v>65.72</v>
      </c>
      <c r="P82" s="21">
        <v>6.1</v>
      </c>
    </row>
    <row r="83" spans="1:16" ht="20.100000000000001" customHeight="1">
      <c r="A83" s="8">
        <v>15</v>
      </c>
      <c r="B83" s="12" t="s">
        <v>18</v>
      </c>
      <c r="C83" s="8">
        <v>25</v>
      </c>
      <c r="D83" s="13">
        <f>26.28/100*$C83</f>
        <v>6.5700000000000012</v>
      </c>
      <c r="E83" s="13">
        <f>26.6/100*$C83</f>
        <v>6.65</v>
      </c>
      <c r="F83" s="13">
        <f>0/100*$C83</f>
        <v>0</v>
      </c>
      <c r="G83" s="13">
        <f>0.04/100*$C83</f>
        <v>0.01</v>
      </c>
      <c r="H83" s="13">
        <f>0.68/100*$C83</f>
        <v>0.17</v>
      </c>
      <c r="I83" s="13">
        <f>2.08/100*$C83</f>
        <v>0.52</v>
      </c>
      <c r="J83" s="13">
        <f>0/100*$C83</f>
        <v>0</v>
      </c>
      <c r="K83" s="13">
        <f>996/100*$C83</f>
        <v>249.00000000000003</v>
      </c>
      <c r="L83" s="13">
        <f>599.6/100*$C83</f>
        <v>149.9</v>
      </c>
      <c r="M83" s="13">
        <f>54.96/100*$C83</f>
        <v>13.74</v>
      </c>
      <c r="N83" s="13">
        <f>0.68/100*$C83</f>
        <v>0.17</v>
      </c>
      <c r="O83" s="13">
        <f>343.2/100*$C83</f>
        <v>85.8</v>
      </c>
      <c r="P83" s="13">
        <v>17.86</v>
      </c>
    </row>
    <row r="84" spans="1:16" ht="20.100000000000001" customHeight="1">
      <c r="A84" s="8">
        <v>378</v>
      </c>
      <c r="B84" s="12" t="s">
        <v>19</v>
      </c>
      <c r="C84" s="8">
        <v>200</v>
      </c>
      <c r="D84" s="13">
        <v>1.52</v>
      </c>
      <c r="E84" s="13">
        <v>1.35</v>
      </c>
      <c r="F84" s="13">
        <v>15.9</v>
      </c>
      <c r="G84" s="13">
        <v>0.04</v>
      </c>
      <c r="H84" s="13">
        <v>1.33</v>
      </c>
      <c r="I84" s="13">
        <v>10</v>
      </c>
      <c r="J84" s="13">
        <v>0</v>
      </c>
      <c r="K84" s="13">
        <v>126.6</v>
      </c>
      <c r="L84" s="13">
        <v>92.8</v>
      </c>
      <c r="M84" s="13">
        <v>15.4</v>
      </c>
      <c r="N84" s="13">
        <v>0.41</v>
      </c>
      <c r="O84" s="13">
        <v>81</v>
      </c>
      <c r="P84" s="13">
        <v>4.5999999999999996</v>
      </c>
    </row>
    <row r="85" spans="1:16" ht="20.100000000000001" customHeight="1">
      <c r="A85" s="8" t="s">
        <v>20</v>
      </c>
      <c r="B85" s="12" t="s">
        <v>21</v>
      </c>
      <c r="C85" s="8">
        <v>50</v>
      </c>
      <c r="D85" s="13">
        <f>8/100*$C85</f>
        <v>4</v>
      </c>
      <c r="E85" s="13">
        <f>1.509/100*$C85</f>
        <v>0.75449999999999995</v>
      </c>
      <c r="F85" s="13">
        <f>40.127/100*$C85</f>
        <v>20.063500000000001</v>
      </c>
      <c r="G85" s="13">
        <f>0.072/100*$C85</f>
        <v>3.5999999999999997E-2</v>
      </c>
      <c r="H85" s="13">
        <f>0/100*$C85</f>
        <v>0</v>
      </c>
      <c r="I85" s="13">
        <f>0/100*$C85</f>
        <v>0</v>
      </c>
      <c r="J85" s="13">
        <f>2.36/100*$C85</f>
        <v>1.18</v>
      </c>
      <c r="K85" s="13">
        <f>33/100*$C85</f>
        <v>16.5</v>
      </c>
      <c r="L85" s="13">
        <f>234/100*$C85</f>
        <v>117</v>
      </c>
      <c r="M85" s="13">
        <f>66/100*$C85</f>
        <v>33</v>
      </c>
      <c r="N85" s="13">
        <f>4.4/100*$C85</f>
        <v>2.2000000000000002</v>
      </c>
      <c r="O85" s="13">
        <f>208/100*$C85</f>
        <v>104</v>
      </c>
      <c r="P85" s="13">
        <v>1.65</v>
      </c>
    </row>
    <row r="86" spans="1:16" ht="20.100000000000001" customHeight="1">
      <c r="A86" s="8" t="s">
        <v>20</v>
      </c>
      <c r="B86" s="12" t="s">
        <v>22</v>
      </c>
      <c r="C86" s="8">
        <v>50</v>
      </c>
      <c r="D86" s="13">
        <f>4.9/100*$C86</f>
        <v>2.4500000000000002</v>
      </c>
      <c r="E86" s="13">
        <f>1.1/100*$C86</f>
        <v>0.55000000000000004</v>
      </c>
      <c r="F86" s="13">
        <f>48.9/100*$C86</f>
        <v>24.45</v>
      </c>
      <c r="G86" s="13">
        <f>0.1/100*$C86</f>
        <v>0.05</v>
      </c>
      <c r="H86" s="13">
        <f>0/100*$C86</f>
        <v>0</v>
      </c>
      <c r="I86" s="13">
        <f>0/100*$C86</f>
        <v>0</v>
      </c>
      <c r="J86" s="13">
        <f>0.9/100*$C86</f>
        <v>0.45000000000000007</v>
      </c>
      <c r="K86" s="13">
        <f>23/100*$C86</f>
        <v>11.5</v>
      </c>
      <c r="L86" s="13">
        <f>106/100*$C86</f>
        <v>53</v>
      </c>
      <c r="M86" s="13">
        <f>25/100*$C86</f>
        <v>12.5</v>
      </c>
      <c r="N86" s="13">
        <f>3.1/100*$C86</f>
        <v>1.55</v>
      </c>
      <c r="O86" s="13">
        <f>200/100*$C86</f>
        <v>100</v>
      </c>
      <c r="P86" s="13">
        <v>2</v>
      </c>
    </row>
    <row r="87" spans="1:16" ht="20.100000000000001" customHeight="1">
      <c r="A87" s="12"/>
      <c r="B87" s="12" t="s">
        <v>23</v>
      </c>
      <c r="C87" s="12"/>
      <c r="D87" s="13">
        <f t="shared" ref="D87:O87" si="11">SUM(D81:D86)</f>
        <v>20.65</v>
      </c>
      <c r="E87" s="13">
        <f t="shared" si="11"/>
        <v>20.024500000000003</v>
      </c>
      <c r="F87" s="13">
        <f t="shared" si="11"/>
        <v>92.793500000000009</v>
      </c>
      <c r="G87" s="13">
        <f t="shared" si="11"/>
        <v>0.21600000000000003</v>
      </c>
      <c r="H87" s="13">
        <f t="shared" si="11"/>
        <v>2.67</v>
      </c>
      <c r="I87" s="13">
        <f t="shared" si="11"/>
        <v>11.1</v>
      </c>
      <c r="J87" s="13">
        <f t="shared" si="11"/>
        <v>1.6400000000000001</v>
      </c>
      <c r="K87" s="13">
        <f t="shared" si="11"/>
        <v>537.30000000000007</v>
      </c>
      <c r="L87" s="13">
        <f t="shared" si="11"/>
        <v>530.8900000000001</v>
      </c>
      <c r="M87" s="13">
        <f t="shared" si="11"/>
        <v>94.94</v>
      </c>
      <c r="N87" s="13">
        <f t="shared" si="11"/>
        <v>4.8</v>
      </c>
      <c r="O87" s="13">
        <f t="shared" si="11"/>
        <v>621.79999999999995</v>
      </c>
      <c r="P87" s="13">
        <v>39.1</v>
      </c>
    </row>
    <row r="88" spans="1:16" ht="20.100000000000001" customHeight="1">
      <c r="A88" s="27" t="s">
        <v>87</v>
      </c>
      <c r="B88" s="28"/>
      <c r="C88" s="18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</row>
    <row r="89" spans="1:16" ht="26.25" customHeight="1">
      <c r="A89" s="8">
        <v>71</v>
      </c>
      <c r="B89" s="12" t="s">
        <v>99</v>
      </c>
      <c r="C89" s="8">
        <v>65</v>
      </c>
      <c r="D89" s="14">
        <f>0.8/100*$C89</f>
        <v>0.52</v>
      </c>
      <c r="E89" s="14">
        <f>0.1/100*$C89</f>
        <v>6.5000000000000002E-2</v>
      </c>
      <c r="F89" s="14">
        <f>1.567/100*$C89</f>
        <v>1.0185500000000001</v>
      </c>
      <c r="G89" s="14">
        <f>0.0667/100*$C89</f>
        <v>4.3354999999999998E-2</v>
      </c>
      <c r="H89" s="14">
        <f>3.7667/100*$C89</f>
        <v>2.4483549999999998</v>
      </c>
      <c r="I89" s="14">
        <f>11.267/100*$C89</f>
        <v>7.3235499999999991</v>
      </c>
      <c r="J89" s="14">
        <f>0.067/100*$C89</f>
        <v>4.3549999999999998E-2</v>
      </c>
      <c r="K89" s="14">
        <f>17.267/100*$C89</f>
        <v>11.223549999999999</v>
      </c>
      <c r="L89" s="14">
        <f>18/100*$C89</f>
        <v>11.7</v>
      </c>
      <c r="M89" s="14">
        <f>10.5/100*$C89</f>
        <v>6.8250000000000002</v>
      </c>
      <c r="N89" s="14">
        <f>0.467/100*$C89</f>
        <v>0.30355000000000004</v>
      </c>
      <c r="O89" s="14">
        <f>19.5/100*$C89</f>
        <v>12.675000000000001</v>
      </c>
      <c r="P89" s="13">
        <v>14.79</v>
      </c>
    </row>
    <row r="90" spans="1:16" ht="20.100000000000001" customHeight="1">
      <c r="A90" s="8">
        <v>103</v>
      </c>
      <c r="B90" s="12" t="s">
        <v>45</v>
      </c>
      <c r="C90" s="8">
        <v>250</v>
      </c>
      <c r="D90" s="13">
        <v>2.2000000000000002</v>
      </c>
      <c r="E90" s="13">
        <v>2.3199999999999998</v>
      </c>
      <c r="F90" s="13">
        <v>14</v>
      </c>
      <c r="G90" s="13">
        <v>0.09</v>
      </c>
      <c r="H90" s="13">
        <v>6.6</v>
      </c>
      <c r="I90" s="13">
        <v>0</v>
      </c>
      <c r="J90" s="13">
        <v>0.23</v>
      </c>
      <c r="K90" s="13">
        <v>13.12</v>
      </c>
      <c r="L90" s="13">
        <v>51.92</v>
      </c>
      <c r="M90" s="13">
        <v>19.28</v>
      </c>
      <c r="N90" s="13">
        <v>0.79</v>
      </c>
      <c r="O90" s="13">
        <v>94.64</v>
      </c>
      <c r="P90" s="13">
        <v>7.32</v>
      </c>
    </row>
    <row r="91" spans="1:16" ht="33.75" customHeight="1">
      <c r="A91" s="8" t="s">
        <v>46</v>
      </c>
      <c r="B91" s="12" t="s">
        <v>47</v>
      </c>
      <c r="C91" s="8">
        <v>110</v>
      </c>
      <c r="D91" s="13">
        <v>11.75</v>
      </c>
      <c r="E91" s="13">
        <v>13.13</v>
      </c>
      <c r="F91" s="13">
        <v>15.38</v>
      </c>
      <c r="G91" s="13">
        <v>0.08</v>
      </c>
      <c r="H91" s="13">
        <v>1.08</v>
      </c>
      <c r="I91" s="13">
        <v>50.85</v>
      </c>
      <c r="J91" s="13">
        <v>0.83</v>
      </c>
      <c r="K91" s="13">
        <v>41.93</v>
      </c>
      <c r="L91" s="13">
        <v>132.56</v>
      </c>
      <c r="M91" s="13">
        <v>27.5</v>
      </c>
      <c r="N91" s="13">
        <v>1.31</v>
      </c>
      <c r="O91" s="13">
        <v>226.5</v>
      </c>
      <c r="P91" s="13">
        <v>26.5</v>
      </c>
    </row>
    <row r="92" spans="1:16" ht="20.100000000000001" customHeight="1">
      <c r="A92" s="8">
        <v>302</v>
      </c>
      <c r="B92" s="12" t="s">
        <v>49</v>
      </c>
      <c r="C92" s="8">
        <v>150</v>
      </c>
      <c r="D92" s="13">
        <f>5.7/100*$C92</f>
        <v>8.5500000000000007</v>
      </c>
      <c r="E92" s="13">
        <f>3.6583/100*$C92</f>
        <v>5.4874500000000008</v>
      </c>
      <c r="F92" s="13">
        <f>30.83/100*$C92</f>
        <v>46.244999999999997</v>
      </c>
      <c r="G92" s="13">
        <f>0.075/100*$C92</f>
        <v>0.1125</v>
      </c>
      <c r="H92" s="13">
        <f>0/100*$C92</f>
        <v>0</v>
      </c>
      <c r="I92" s="13">
        <f>0.0083/100*$C92</f>
        <v>1.2449999999999999E-2</v>
      </c>
      <c r="J92" s="13">
        <f>0.3167/100*$C92</f>
        <v>0.47504999999999997</v>
      </c>
      <c r="K92" s="13">
        <f>24.583/100*$C92</f>
        <v>36.874499999999998</v>
      </c>
      <c r="L92" s="13">
        <f>137.367/100*$C92</f>
        <v>206.0505</v>
      </c>
      <c r="M92" s="13">
        <f>90.75/100*$C92</f>
        <v>136.125</v>
      </c>
      <c r="N92" s="13">
        <f>3.125/100*$C92</f>
        <v>4.6875</v>
      </c>
      <c r="O92" s="13">
        <f>157.9167/100*$C92</f>
        <v>236.87504999999999</v>
      </c>
      <c r="P92" s="13">
        <v>8.18</v>
      </c>
    </row>
    <row r="93" spans="1:16" ht="20.100000000000001" customHeight="1">
      <c r="A93" s="8">
        <v>924</v>
      </c>
      <c r="B93" s="12" t="s">
        <v>104</v>
      </c>
      <c r="C93" s="8">
        <v>200</v>
      </c>
      <c r="D93" s="13">
        <v>0</v>
      </c>
      <c r="E93" s="13">
        <v>0</v>
      </c>
      <c r="F93" s="13">
        <v>26.3</v>
      </c>
      <c r="G93" s="13">
        <v>0.01</v>
      </c>
      <c r="H93" s="13">
        <v>28</v>
      </c>
      <c r="I93" s="13">
        <v>0</v>
      </c>
      <c r="J93" s="13">
        <v>0</v>
      </c>
      <c r="K93" s="13">
        <v>23.7</v>
      </c>
      <c r="L93" s="13">
        <v>18.399999999999999</v>
      </c>
      <c r="M93" s="13">
        <v>13.4</v>
      </c>
      <c r="N93" s="13">
        <v>0.71</v>
      </c>
      <c r="O93" s="13">
        <v>105.4</v>
      </c>
      <c r="P93" s="13">
        <v>6.46</v>
      </c>
    </row>
    <row r="94" spans="1:16" ht="20.100000000000001" customHeight="1">
      <c r="A94" s="8" t="s">
        <v>20</v>
      </c>
      <c r="B94" s="12" t="s">
        <v>21</v>
      </c>
      <c r="C94" s="8">
        <v>50</v>
      </c>
      <c r="D94" s="13">
        <f>8/100*$C94</f>
        <v>4</v>
      </c>
      <c r="E94" s="13">
        <f>1.509/100*$C94</f>
        <v>0.75449999999999995</v>
      </c>
      <c r="F94" s="13">
        <f>40.127/100*$C94</f>
        <v>20.063500000000001</v>
      </c>
      <c r="G94" s="13">
        <f>0.072/100*$C94</f>
        <v>3.5999999999999997E-2</v>
      </c>
      <c r="H94" s="13">
        <f>0/100*$C94</f>
        <v>0</v>
      </c>
      <c r="I94" s="13">
        <f>0/100*$C94</f>
        <v>0</v>
      </c>
      <c r="J94" s="13">
        <f>2.36/100*$C94</f>
        <v>1.18</v>
      </c>
      <c r="K94" s="13">
        <f>33/100*$C94</f>
        <v>16.5</v>
      </c>
      <c r="L94" s="13">
        <f>234/100*$C94</f>
        <v>117</v>
      </c>
      <c r="M94" s="13">
        <f>66/100*$C94</f>
        <v>33</v>
      </c>
      <c r="N94" s="13">
        <f>4.4/100*$C94</f>
        <v>2.2000000000000002</v>
      </c>
      <c r="O94" s="13">
        <f>208/100*$C94</f>
        <v>104</v>
      </c>
      <c r="P94" s="13">
        <v>1.65</v>
      </c>
    </row>
    <row r="95" spans="1:16" ht="20.100000000000001" customHeight="1">
      <c r="A95" s="8" t="s">
        <v>20</v>
      </c>
      <c r="B95" s="12" t="s">
        <v>22</v>
      </c>
      <c r="C95" s="8">
        <v>75</v>
      </c>
      <c r="D95" s="13">
        <f>4.9/100*$C95</f>
        <v>3.6750000000000003</v>
      </c>
      <c r="E95" s="13">
        <f>1.1/100*$C95</f>
        <v>0.82500000000000007</v>
      </c>
      <c r="F95" s="13">
        <f>48.9/100*$C95</f>
        <v>36.674999999999997</v>
      </c>
      <c r="G95" s="13">
        <f>0.1/100*$C95</f>
        <v>7.4999999999999997E-2</v>
      </c>
      <c r="H95" s="13">
        <f>0/100*$C95</f>
        <v>0</v>
      </c>
      <c r="I95" s="13">
        <f>0/100*$C95</f>
        <v>0</v>
      </c>
      <c r="J95" s="13">
        <f>0.9/100*$C95</f>
        <v>0.67500000000000004</v>
      </c>
      <c r="K95" s="13">
        <f>23/100*$C95</f>
        <v>17.25</v>
      </c>
      <c r="L95" s="13">
        <f>106/100*$C95</f>
        <v>79.5</v>
      </c>
      <c r="M95" s="13">
        <f>25/100*$C95</f>
        <v>18.75</v>
      </c>
      <c r="N95" s="13">
        <f>3.1/100*$C95</f>
        <v>2.3250000000000002</v>
      </c>
      <c r="O95" s="13">
        <f>200/100*$C95</f>
        <v>150</v>
      </c>
      <c r="P95" s="13">
        <v>3</v>
      </c>
    </row>
    <row r="96" spans="1:16" ht="20.100000000000001" customHeight="1">
      <c r="A96" s="8">
        <v>338</v>
      </c>
      <c r="B96" s="12" t="s">
        <v>113</v>
      </c>
      <c r="C96" s="8">
        <v>200</v>
      </c>
      <c r="D96" s="13">
        <f>0.622/100*$C96</f>
        <v>1.244</v>
      </c>
      <c r="E96" s="13">
        <f>0.622/100*$C96</f>
        <v>1.244</v>
      </c>
      <c r="F96" s="13">
        <f>15.256/100*$C96</f>
        <v>30.512</v>
      </c>
      <c r="G96" s="13">
        <f>0.0556/100*$C96</f>
        <v>0.11119999999999999</v>
      </c>
      <c r="H96" s="13">
        <f>15.5/100*$C96</f>
        <v>31</v>
      </c>
      <c r="I96" s="13">
        <f>0/100*$C96</f>
        <v>0</v>
      </c>
      <c r="J96" s="13">
        <f>0.31/100*$C96</f>
        <v>0.62</v>
      </c>
      <c r="K96" s="13">
        <f>24.878/100*$C96</f>
        <v>49.756</v>
      </c>
      <c r="L96" s="13">
        <f>17.167/100*$C96</f>
        <v>34.334000000000003</v>
      </c>
      <c r="M96" s="13">
        <f>14/100*$C96</f>
        <v>28.000000000000004</v>
      </c>
      <c r="N96" s="13">
        <f>3.422/100*$C96</f>
        <v>6.8440000000000003</v>
      </c>
      <c r="O96" s="13">
        <f>73.122/100*$C96</f>
        <v>146.244</v>
      </c>
      <c r="P96" s="13">
        <v>50</v>
      </c>
    </row>
    <row r="97" spans="1:18" ht="20.100000000000001" customHeight="1">
      <c r="A97" s="12"/>
      <c r="B97" s="12" t="s">
        <v>27</v>
      </c>
      <c r="C97" s="12"/>
      <c r="D97" s="13">
        <f t="shared" ref="D97:O97" si="12">SUM(D89:D95)</f>
        <v>30.695000000000004</v>
      </c>
      <c r="E97" s="13">
        <f t="shared" si="12"/>
        <v>22.581950000000003</v>
      </c>
      <c r="F97" s="13">
        <f t="shared" si="12"/>
        <v>159.68205</v>
      </c>
      <c r="G97" s="13">
        <f t="shared" si="12"/>
        <v>0.446855</v>
      </c>
      <c r="H97" s="13">
        <f t="shared" si="12"/>
        <v>38.128354999999999</v>
      </c>
      <c r="I97" s="13">
        <f t="shared" si="12"/>
        <v>58.186</v>
      </c>
      <c r="J97" s="13">
        <f t="shared" si="12"/>
        <v>3.4336000000000002</v>
      </c>
      <c r="K97" s="13">
        <f t="shared" si="12"/>
        <v>160.59805</v>
      </c>
      <c r="L97" s="13">
        <f t="shared" si="12"/>
        <v>617.13049999999998</v>
      </c>
      <c r="M97" s="13">
        <f t="shared" si="12"/>
        <v>254.88000000000002</v>
      </c>
      <c r="N97" s="13">
        <f t="shared" si="12"/>
        <v>12.326049999999999</v>
      </c>
      <c r="O97" s="13">
        <f t="shared" si="12"/>
        <v>930.09004999999991</v>
      </c>
      <c r="P97" s="13">
        <v>111.44</v>
      </c>
    </row>
    <row r="98" spans="1:18" ht="20.100000000000001" customHeight="1">
      <c r="A98" s="12"/>
      <c r="B98" s="12" t="s">
        <v>28</v>
      </c>
      <c r="C98" s="12"/>
      <c r="D98" s="13">
        <f t="shared" ref="D98:O98" si="13">SUM(D87,D97)</f>
        <v>51.344999999999999</v>
      </c>
      <c r="E98" s="13">
        <f t="shared" si="13"/>
        <v>42.606450000000009</v>
      </c>
      <c r="F98" s="13">
        <f t="shared" si="13"/>
        <v>252.47555</v>
      </c>
      <c r="G98" s="13">
        <f t="shared" si="13"/>
        <v>0.66285499999999997</v>
      </c>
      <c r="H98" s="13">
        <f t="shared" si="13"/>
        <v>40.798355000000001</v>
      </c>
      <c r="I98" s="13">
        <f t="shared" si="13"/>
        <v>69.286000000000001</v>
      </c>
      <c r="J98" s="13">
        <f t="shared" si="13"/>
        <v>5.0736000000000008</v>
      </c>
      <c r="K98" s="13">
        <f t="shared" si="13"/>
        <v>697.89805000000001</v>
      </c>
      <c r="L98" s="13">
        <f t="shared" si="13"/>
        <v>1148.0205000000001</v>
      </c>
      <c r="M98" s="13">
        <f t="shared" si="13"/>
        <v>349.82000000000005</v>
      </c>
      <c r="N98" s="13">
        <f t="shared" si="13"/>
        <v>17.126049999999999</v>
      </c>
      <c r="O98" s="13">
        <f t="shared" si="13"/>
        <v>1551.89005</v>
      </c>
      <c r="P98" s="13">
        <v>150.54</v>
      </c>
    </row>
    <row r="99" spans="1:18" ht="20.100000000000001" customHeight="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</row>
    <row r="100" spans="1:18" ht="20.100000000000001" customHeight="1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</row>
    <row r="101" spans="1:18" ht="20.100000000000001" customHeight="1">
      <c r="A101" s="24"/>
      <c r="B101" s="26" t="s">
        <v>29</v>
      </c>
      <c r="C101" s="26"/>
      <c r="D101" s="26"/>
      <c r="E101" s="24"/>
      <c r="F101" s="24"/>
      <c r="G101" s="24"/>
      <c r="H101" s="24"/>
      <c r="I101" s="24"/>
      <c r="J101" s="15" t="s">
        <v>30</v>
      </c>
      <c r="K101" s="15"/>
      <c r="L101" s="15"/>
      <c r="M101" s="15"/>
      <c r="N101" s="24"/>
      <c r="O101" s="24"/>
      <c r="P101" s="24"/>
    </row>
    <row r="102" spans="1:18" ht="20.100000000000001" customHeight="1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</row>
    <row r="103" spans="1:18" ht="20.100000000000001" customHeight="1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</row>
    <row r="104" spans="1:18" ht="20.100000000000001" customHeight="1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</row>
    <row r="105" spans="1:18" ht="20.100000000000001" customHeight="1">
      <c r="A105" s="27" t="s">
        <v>86</v>
      </c>
      <c r="B105" s="28"/>
      <c r="C105" s="18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</row>
    <row r="106" spans="1:18" ht="37.5" customHeight="1">
      <c r="A106" s="8">
        <v>223</v>
      </c>
      <c r="B106" s="12" t="s">
        <v>50</v>
      </c>
      <c r="C106" s="8" t="s">
        <v>51</v>
      </c>
      <c r="D106" s="13">
        <v>19.86</v>
      </c>
      <c r="E106" s="13">
        <v>16.989999999999998</v>
      </c>
      <c r="F106" s="13">
        <v>32</v>
      </c>
      <c r="G106" s="13">
        <v>7.0000000000000007E-2</v>
      </c>
      <c r="H106" s="13">
        <v>0.31</v>
      </c>
      <c r="I106" s="13">
        <v>0</v>
      </c>
      <c r="J106" s="13">
        <v>0</v>
      </c>
      <c r="K106" s="13">
        <v>225.34</v>
      </c>
      <c r="L106" s="13">
        <v>276.91000000000003</v>
      </c>
      <c r="M106" s="13">
        <v>32.81</v>
      </c>
      <c r="N106" s="13">
        <v>0.04</v>
      </c>
      <c r="O106" s="13">
        <v>364.89</v>
      </c>
      <c r="P106" s="13">
        <v>25.6</v>
      </c>
    </row>
    <row r="107" spans="1:18" ht="20.100000000000001" customHeight="1">
      <c r="A107" s="8">
        <v>15</v>
      </c>
      <c r="B107" s="12" t="s">
        <v>18</v>
      </c>
      <c r="C107" s="8">
        <v>25</v>
      </c>
      <c r="D107" s="13">
        <f>26.28/100*$C107</f>
        <v>6.5700000000000012</v>
      </c>
      <c r="E107" s="13">
        <f>26.6/100*$C107</f>
        <v>6.65</v>
      </c>
      <c r="F107" s="13">
        <f>0/100*$C107</f>
        <v>0</v>
      </c>
      <c r="G107" s="13">
        <f>0.04/100*$C107</f>
        <v>0.01</v>
      </c>
      <c r="H107" s="13">
        <f>0.68/100*$C107</f>
        <v>0.17</v>
      </c>
      <c r="I107" s="13">
        <f>2.08/100*$C107</f>
        <v>0.52</v>
      </c>
      <c r="J107" s="13">
        <f>0/100*$C107</f>
        <v>0</v>
      </c>
      <c r="K107" s="13">
        <f>996/100*$C107</f>
        <v>249.00000000000003</v>
      </c>
      <c r="L107" s="13">
        <f>599.6/100*$C107</f>
        <v>149.9</v>
      </c>
      <c r="M107" s="13">
        <f>54.96/100*$C107</f>
        <v>13.74</v>
      </c>
      <c r="N107" s="13">
        <f>0.68/100*$C107</f>
        <v>0.17</v>
      </c>
      <c r="O107" s="13">
        <f>343.2/100*$C107</f>
        <v>85.8</v>
      </c>
      <c r="P107" s="13">
        <v>17.86</v>
      </c>
    </row>
    <row r="108" spans="1:18" s="1" customFormat="1" ht="17.25" customHeight="1">
      <c r="A108" s="8">
        <v>379</v>
      </c>
      <c r="B108" s="12" t="s">
        <v>66</v>
      </c>
      <c r="C108" s="8">
        <v>200</v>
      </c>
      <c r="D108" s="13">
        <v>3.6</v>
      </c>
      <c r="E108" s="13">
        <v>2.67</v>
      </c>
      <c r="F108" s="13">
        <v>29.2</v>
      </c>
      <c r="G108" s="13">
        <v>0.03</v>
      </c>
      <c r="H108" s="13">
        <v>1.47</v>
      </c>
      <c r="I108" s="13">
        <v>0</v>
      </c>
      <c r="J108" s="13">
        <v>0</v>
      </c>
      <c r="K108" s="13">
        <v>158.66999999999999</v>
      </c>
      <c r="L108" s="13">
        <v>132</v>
      </c>
      <c r="M108" s="13">
        <v>29.33</v>
      </c>
      <c r="N108" s="13">
        <v>2.4</v>
      </c>
      <c r="O108" s="13">
        <v>155.19999999999999</v>
      </c>
      <c r="P108" s="13">
        <v>9.15</v>
      </c>
      <c r="Q108" s="2"/>
      <c r="R108" s="2"/>
    </row>
    <row r="109" spans="1:18" ht="20.100000000000001" customHeight="1">
      <c r="A109" s="8" t="s">
        <v>20</v>
      </c>
      <c r="B109" s="12" t="s">
        <v>21</v>
      </c>
      <c r="C109" s="8">
        <v>50</v>
      </c>
      <c r="D109" s="13">
        <f>8/100*$C109</f>
        <v>4</v>
      </c>
      <c r="E109" s="13">
        <f>1.509/100*$C109</f>
        <v>0.75449999999999995</v>
      </c>
      <c r="F109" s="13">
        <f>40.127/100*$C109</f>
        <v>20.063500000000001</v>
      </c>
      <c r="G109" s="13">
        <f>0.072/100*$C109</f>
        <v>3.5999999999999997E-2</v>
      </c>
      <c r="H109" s="13">
        <f>0/100*$C109</f>
        <v>0</v>
      </c>
      <c r="I109" s="13">
        <f>0/100*$C109</f>
        <v>0</v>
      </c>
      <c r="J109" s="13">
        <f>2.36/100*$C109</f>
        <v>1.18</v>
      </c>
      <c r="K109" s="13">
        <f>33/100*$C109</f>
        <v>16.5</v>
      </c>
      <c r="L109" s="13">
        <f>234/100*$C109</f>
        <v>117</v>
      </c>
      <c r="M109" s="13">
        <f>66/100*$C109</f>
        <v>33</v>
      </c>
      <c r="N109" s="13">
        <f>4.4/100*$C109</f>
        <v>2.2000000000000002</v>
      </c>
      <c r="O109" s="13">
        <f>208/100*$C109</f>
        <v>104</v>
      </c>
      <c r="P109" s="13">
        <v>1.65</v>
      </c>
    </row>
    <row r="110" spans="1:18" ht="20.100000000000001" customHeight="1">
      <c r="A110" s="8" t="s">
        <v>20</v>
      </c>
      <c r="B110" s="12" t="s">
        <v>22</v>
      </c>
      <c r="C110" s="8">
        <v>50</v>
      </c>
      <c r="D110" s="13">
        <f>4.9/100*$C110</f>
        <v>2.4500000000000002</v>
      </c>
      <c r="E110" s="13">
        <f>1.1/100*$C110</f>
        <v>0.55000000000000004</v>
      </c>
      <c r="F110" s="13">
        <f>48.9/100*$C110</f>
        <v>24.45</v>
      </c>
      <c r="G110" s="13">
        <f>0.1/100*$C110</f>
        <v>0.05</v>
      </c>
      <c r="H110" s="13">
        <f>0/100*$C110</f>
        <v>0</v>
      </c>
      <c r="I110" s="13">
        <f>0/100*$C110</f>
        <v>0</v>
      </c>
      <c r="J110" s="13">
        <f>0.9/100*$C110</f>
        <v>0.45000000000000007</v>
      </c>
      <c r="K110" s="13">
        <f>23/100*$C110</f>
        <v>11.5</v>
      </c>
      <c r="L110" s="13">
        <f>106/100*$C110</f>
        <v>53</v>
      </c>
      <c r="M110" s="13">
        <f>25/100*$C110</f>
        <v>12.5</v>
      </c>
      <c r="N110" s="13">
        <f>3.1/100*$C110</f>
        <v>1.55</v>
      </c>
      <c r="O110" s="13">
        <f>200/100*$C110</f>
        <v>100</v>
      </c>
      <c r="P110" s="13">
        <v>2</v>
      </c>
    </row>
    <row r="111" spans="1:18" ht="20.100000000000001" customHeight="1">
      <c r="A111" s="8" t="s">
        <v>20</v>
      </c>
      <c r="B111" s="12" t="s">
        <v>105</v>
      </c>
      <c r="C111" s="8">
        <v>100</v>
      </c>
      <c r="D111" s="13">
        <v>4.59</v>
      </c>
      <c r="E111" s="13">
        <v>5.95</v>
      </c>
      <c r="F111" s="13">
        <v>49.6</v>
      </c>
      <c r="G111" s="13">
        <v>0.2</v>
      </c>
      <c r="H111" s="13">
        <v>0</v>
      </c>
      <c r="I111" s="13">
        <v>0</v>
      </c>
      <c r="J111" s="13">
        <v>3</v>
      </c>
      <c r="K111" s="13">
        <v>24.7</v>
      </c>
      <c r="L111" s="13">
        <v>63</v>
      </c>
      <c r="M111" s="13">
        <v>17</v>
      </c>
      <c r="N111" s="13">
        <v>1.8</v>
      </c>
      <c r="O111" s="13">
        <v>169.9</v>
      </c>
      <c r="P111" s="13">
        <v>27.96</v>
      </c>
    </row>
    <row r="112" spans="1:18" ht="20.100000000000001" customHeight="1">
      <c r="A112" s="12"/>
      <c r="B112" s="12" t="s">
        <v>23</v>
      </c>
      <c r="C112" s="8"/>
      <c r="D112" s="13">
        <f t="shared" ref="D112:O112" si="14">SUM(D106:D110)</f>
        <v>36.480000000000004</v>
      </c>
      <c r="E112" s="13">
        <f t="shared" si="14"/>
        <v>27.614500000000003</v>
      </c>
      <c r="F112" s="13">
        <f t="shared" si="14"/>
        <v>105.71350000000001</v>
      </c>
      <c r="G112" s="13">
        <f t="shared" si="14"/>
        <v>0.19600000000000001</v>
      </c>
      <c r="H112" s="13">
        <f t="shared" si="14"/>
        <v>1.95</v>
      </c>
      <c r="I112" s="13">
        <f t="shared" si="14"/>
        <v>0.52</v>
      </c>
      <c r="J112" s="13">
        <f t="shared" si="14"/>
        <v>1.63</v>
      </c>
      <c r="K112" s="13">
        <f t="shared" si="14"/>
        <v>661.01</v>
      </c>
      <c r="L112" s="13">
        <f t="shared" si="14"/>
        <v>728.81000000000006</v>
      </c>
      <c r="M112" s="13">
        <f t="shared" si="14"/>
        <v>121.38</v>
      </c>
      <c r="N112" s="13">
        <f t="shared" si="14"/>
        <v>6.36</v>
      </c>
      <c r="O112" s="13">
        <f t="shared" si="14"/>
        <v>809.89</v>
      </c>
      <c r="P112" s="13">
        <v>84.22</v>
      </c>
    </row>
    <row r="113" spans="1:18" ht="20.100000000000001" customHeight="1">
      <c r="A113" s="32" t="s">
        <v>85</v>
      </c>
      <c r="B113" s="32"/>
      <c r="C113" s="10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</row>
    <row r="114" spans="1:18" s="1" customFormat="1" ht="30" customHeight="1">
      <c r="A114" s="8">
        <v>131</v>
      </c>
      <c r="B114" s="22" t="s">
        <v>106</v>
      </c>
      <c r="C114" s="8">
        <v>60</v>
      </c>
      <c r="D114" s="14">
        <f>2/100*$C114</f>
        <v>1.2</v>
      </c>
      <c r="E114" s="14">
        <f>1.32/100*$C114</f>
        <v>0.79200000000000004</v>
      </c>
      <c r="F114" s="14">
        <f>3.64/100*$C114</f>
        <v>2.1840000000000002</v>
      </c>
      <c r="G114" s="14">
        <f>0.88/100*$C114</f>
        <v>0.52800000000000002</v>
      </c>
      <c r="H114" s="14">
        <f>6.4/100*$C114</f>
        <v>3.84</v>
      </c>
      <c r="I114" s="14">
        <f>0/100*$C114</f>
        <v>0</v>
      </c>
      <c r="J114" s="14">
        <f>0.08/100*$C114</f>
        <v>4.8000000000000001E-2</v>
      </c>
      <c r="K114" s="14">
        <f>13.2/100*$C114</f>
        <v>7.92</v>
      </c>
      <c r="L114" s="14">
        <f>41.2/100*$C114</f>
        <v>24.720000000000002</v>
      </c>
      <c r="M114" s="14">
        <f>14/100*$C114</f>
        <v>8.4</v>
      </c>
      <c r="N114" s="14">
        <f>0.44/100*$C114</f>
        <v>0.26400000000000001</v>
      </c>
      <c r="O114" s="14">
        <f>24.4/100*$C114</f>
        <v>14.64</v>
      </c>
      <c r="P114" s="23">
        <v>9.8800000000000008</v>
      </c>
      <c r="Q114" s="3"/>
      <c r="R114" s="2"/>
    </row>
    <row r="115" spans="1:18" ht="33.75" customHeight="1">
      <c r="A115" s="8">
        <v>98</v>
      </c>
      <c r="B115" s="12" t="s">
        <v>52</v>
      </c>
      <c r="C115" s="8" t="s">
        <v>53</v>
      </c>
      <c r="D115" s="13">
        <v>1.33</v>
      </c>
      <c r="E115" s="13">
        <v>4.43</v>
      </c>
      <c r="F115" s="13">
        <v>5.07</v>
      </c>
      <c r="G115" s="13">
        <v>0.04</v>
      </c>
      <c r="H115" s="13">
        <v>7.52</v>
      </c>
      <c r="I115" s="13">
        <v>0.03</v>
      </c>
      <c r="J115" s="13">
        <v>0.16</v>
      </c>
      <c r="K115" s="13">
        <v>23.04</v>
      </c>
      <c r="L115" s="13">
        <v>43.44</v>
      </c>
      <c r="M115" s="13">
        <v>16.88</v>
      </c>
      <c r="N115" s="13">
        <v>0.54</v>
      </c>
      <c r="O115" s="13">
        <v>66.959999999999994</v>
      </c>
      <c r="P115" s="13">
        <v>7.68</v>
      </c>
    </row>
    <row r="116" spans="1:18" ht="20.100000000000001" customHeight="1">
      <c r="A116" s="8">
        <v>637</v>
      </c>
      <c r="B116" s="12" t="s">
        <v>54</v>
      </c>
      <c r="C116" s="8">
        <v>150</v>
      </c>
      <c r="D116" s="14">
        <f>5.853/100*$C116</f>
        <v>8.7795000000000005</v>
      </c>
      <c r="E116" s="14">
        <f>6.98/100*$C116</f>
        <v>10.47</v>
      </c>
      <c r="F116" s="14">
        <f>12.0867/100*$C116</f>
        <v>18.130050000000001</v>
      </c>
      <c r="G116" s="14">
        <f>0.093/100*$C116</f>
        <v>0.13949999999999999</v>
      </c>
      <c r="H116" s="14">
        <f>14.13/100*$C116</f>
        <v>21.195</v>
      </c>
      <c r="I116" s="14">
        <f>0.02/100*$C116</f>
        <v>3.0000000000000002E-2</v>
      </c>
      <c r="J116" s="14">
        <f>0.26/100*$C116</f>
        <v>0.38999999999999996</v>
      </c>
      <c r="K116" s="14">
        <f>15.4/100*$C116</f>
        <v>23.1</v>
      </c>
      <c r="L116" s="14">
        <f>89.53/100*$C116</f>
        <v>134.29499999999999</v>
      </c>
      <c r="M116" s="14">
        <f>22.13/100*$C116</f>
        <v>33.195</v>
      </c>
      <c r="N116" s="14">
        <f>1.3267/100*$C116</f>
        <v>1.9900499999999999</v>
      </c>
      <c r="O116" s="14">
        <f>134.53/100*$C116</f>
        <v>201.79499999999999</v>
      </c>
      <c r="P116" s="13">
        <v>27.82</v>
      </c>
    </row>
    <row r="117" spans="1:18" ht="20.100000000000001" customHeight="1">
      <c r="A117" s="8" t="s">
        <v>20</v>
      </c>
      <c r="B117" s="12" t="s">
        <v>26</v>
      </c>
      <c r="C117" s="8">
        <v>200</v>
      </c>
      <c r="D117" s="13">
        <v>1</v>
      </c>
      <c r="E117" s="13">
        <v>0.2</v>
      </c>
      <c r="F117" s="13">
        <v>20</v>
      </c>
      <c r="G117" s="13">
        <v>0.02</v>
      </c>
      <c r="H117" s="13">
        <v>4</v>
      </c>
      <c r="I117" s="13">
        <v>0</v>
      </c>
      <c r="J117" s="13">
        <v>0.2</v>
      </c>
      <c r="K117" s="13">
        <v>14</v>
      </c>
      <c r="L117" s="13">
        <v>14</v>
      </c>
      <c r="M117" s="13">
        <v>8</v>
      </c>
      <c r="N117" s="13">
        <v>2.8</v>
      </c>
      <c r="O117" s="13">
        <v>65.8</v>
      </c>
      <c r="P117" s="13">
        <v>16.489999999999998</v>
      </c>
    </row>
    <row r="118" spans="1:18" ht="20.100000000000001" customHeight="1">
      <c r="A118" s="8" t="s">
        <v>20</v>
      </c>
      <c r="B118" s="12" t="s">
        <v>21</v>
      </c>
      <c r="C118" s="8">
        <v>50</v>
      </c>
      <c r="D118" s="13">
        <f>8/100*$C118</f>
        <v>4</v>
      </c>
      <c r="E118" s="13">
        <f>1.509/100*$C118</f>
        <v>0.75449999999999995</v>
      </c>
      <c r="F118" s="13">
        <f>40.127/100*$C118</f>
        <v>20.063500000000001</v>
      </c>
      <c r="G118" s="13">
        <f>0.072/100*$C118</f>
        <v>3.5999999999999997E-2</v>
      </c>
      <c r="H118" s="13">
        <f>0/100*$C118</f>
        <v>0</v>
      </c>
      <c r="I118" s="13">
        <f>0/100*$C118</f>
        <v>0</v>
      </c>
      <c r="J118" s="13">
        <f>2.36/100*$C118</f>
        <v>1.18</v>
      </c>
      <c r="K118" s="13">
        <f>33/100*$C118</f>
        <v>16.5</v>
      </c>
      <c r="L118" s="13">
        <f>234/100*$C118</f>
        <v>117</v>
      </c>
      <c r="M118" s="13">
        <f>66/100*$C118</f>
        <v>33</v>
      </c>
      <c r="N118" s="13">
        <f>4.4/100*$C118</f>
        <v>2.2000000000000002</v>
      </c>
      <c r="O118" s="13">
        <f>208/100*$C118</f>
        <v>104</v>
      </c>
      <c r="P118" s="13">
        <v>1.65</v>
      </c>
    </row>
    <row r="119" spans="1:18" ht="20.100000000000001" customHeight="1">
      <c r="A119" s="8" t="s">
        <v>20</v>
      </c>
      <c r="B119" s="12" t="s">
        <v>22</v>
      </c>
      <c r="C119" s="8">
        <v>70</v>
      </c>
      <c r="D119" s="13">
        <f>4.9/100*$C119</f>
        <v>3.43</v>
      </c>
      <c r="E119" s="13">
        <f>1.1/100*$C119</f>
        <v>0.77000000000000013</v>
      </c>
      <c r="F119" s="13">
        <f>48.9/100*$C119</f>
        <v>34.229999999999997</v>
      </c>
      <c r="G119" s="13">
        <f>0.1/100*$C119</f>
        <v>7.0000000000000007E-2</v>
      </c>
      <c r="H119" s="13">
        <f>0/100*$C119</f>
        <v>0</v>
      </c>
      <c r="I119" s="13">
        <f>0/100*$C119</f>
        <v>0</v>
      </c>
      <c r="J119" s="13">
        <f>0.9/100*$C119</f>
        <v>0.63000000000000012</v>
      </c>
      <c r="K119" s="13">
        <f>23/100*$C119</f>
        <v>16.100000000000001</v>
      </c>
      <c r="L119" s="13">
        <f>106/100*$C119</f>
        <v>74.2</v>
      </c>
      <c r="M119" s="13">
        <f>25/100*$C119</f>
        <v>17.5</v>
      </c>
      <c r="N119" s="13">
        <f>3.1/100*$C119</f>
        <v>2.17</v>
      </c>
      <c r="O119" s="13">
        <f>200/100*$C119</f>
        <v>140</v>
      </c>
      <c r="P119" s="13">
        <v>2.8</v>
      </c>
    </row>
    <row r="120" spans="1:18" ht="20.100000000000001" customHeight="1">
      <c r="A120" s="12"/>
      <c r="B120" s="12" t="s">
        <v>27</v>
      </c>
      <c r="C120" s="12"/>
      <c r="D120" s="13">
        <f t="shared" ref="D120:O120" si="15">SUM(D114:D119)</f>
        <v>19.7395</v>
      </c>
      <c r="E120" s="13">
        <f t="shared" si="15"/>
        <v>17.416499999999999</v>
      </c>
      <c r="F120" s="13">
        <f t="shared" si="15"/>
        <v>99.677549999999997</v>
      </c>
      <c r="G120" s="13">
        <f t="shared" si="15"/>
        <v>0.83350000000000013</v>
      </c>
      <c r="H120" s="13">
        <f t="shared" si="15"/>
        <v>36.555</v>
      </c>
      <c r="I120" s="13">
        <f t="shared" si="15"/>
        <v>0.06</v>
      </c>
      <c r="J120" s="13">
        <f t="shared" si="15"/>
        <v>2.6080000000000001</v>
      </c>
      <c r="K120" s="13">
        <f t="shared" si="15"/>
        <v>100.66</v>
      </c>
      <c r="L120" s="13">
        <f t="shared" si="15"/>
        <v>407.65499999999997</v>
      </c>
      <c r="M120" s="13">
        <f t="shared" si="15"/>
        <v>116.97499999999999</v>
      </c>
      <c r="N120" s="13">
        <f t="shared" si="15"/>
        <v>9.9640500000000003</v>
      </c>
      <c r="O120" s="13">
        <f t="shared" si="15"/>
        <v>593.19499999999994</v>
      </c>
      <c r="P120" s="13">
        <v>66.319999999999993</v>
      </c>
    </row>
    <row r="121" spans="1:18" ht="20.100000000000001" customHeight="1">
      <c r="A121" s="12"/>
      <c r="B121" s="12" t="s">
        <v>28</v>
      </c>
      <c r="C121" s="12"/>
      <c r="D121" s="13">
        <f t="shared" ref="D121:O121" si="16">SUM(D112,D120)</f>
        <v>56.219500000000004</v>
      </c>
      <c r="E121" s="13">
        <f t="shared" si="16"/>
        <v>45.031000000000006</v>
      </c>
      <c r="F121" s="13">
        <f t="shared" si="16"/>
        <v>205.39105000000001</v>
      </c>
      <c r="G121" s="13">
        <f t="shared" si="16"/>
        <v>1.0295000000000001</v>
      </c>
      <c r="H121" s="13">
        <f t="shared" si="16"/>
        <v>38.505000000000003</v>
      </c>
      <c r="I121" s="13">
        <f t="shared" si="16"/>
        <v>0.58000000000000007</v>
      </c>
      <c r="J121" s="13">
        <f t="shared" si="16"/>
        <v>4.2379999999999995</v>
      </c>
      <c r="K121" s="13">
        <f t="shared" si="16"/>
        <v>761.67</v>
      </c>
      <c r="L121" s="13">
        <f t="shared" si="16"/>
        <v>1136.4650000000001</v>
      </c>
      <c r="M121" s="13">
        <f t="shared" si="16"/>
        <v>238.35499999999999</v>
      </c>
      <c r="N121" s="13">
        <f t="shared" si="16"/>
        <v>16.32405</v>
      </c>
      <c r="O121" s="13">
        <f t="shared" si="16"/>
        <v>1403.085</v>
      </c>
      <c r="P121" s="13">
        <v>150.54</v>
      </c>
    </row>
    <row r="122" spans="1:18" ht="20.100000000000001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</row>
    <row r="123" spans="1:18" ht="20.100000000000001" customHeight="1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</row>
    <row r="124" spans="1:18" ht="20.100000000000001" customHeight="1">
      <c r="A124" s="24"/>
      <c r="B124" s="26" t="s">
        <v>29</v>
      </c>
      <c r="C124" s="26"/>
      <c r="D124" s="26"/>
      <c r="E124" s="24"/>
      <c r="F124" s="24"/>
      <c r="G124" s="24"/>
      <c r="H124" s="24"/>
      <c r="I124" s="24"/>
      <c r="J124" s="15" t="s">
        <v>30</v>
      </c>
      <c r="K124" s="15"/>
      <c r="L124" s="15"/>
      <c r="M124" s="15"/>
      <c r="N124" s="24"/>
      <c r="O124" s="24"/>
      <c r="P124" s="24"/>
    </row>
    <row r="125" spans="1:18" ht="20.100000000000001" customHeight="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</row>
    <row r="126" spans="1:18" ht="20.100000000000001" customHeight="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</row>
    <row r="127" spans="1:18" ht="20.100000000000001" customHeight="1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</row>
    <row r="128" spans="1:18" ht="20.100000000000001" customHeight="1">
      <c r="A128" s="27" t="s">
        <v>84</v>
      </c>
      <c r="B128" s="28"/>
      <c r="C128" s="18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</row>
    <row r="129" spans="1:18" s="1" customFormat="1" ht="42" customHeight="1">
      <c r="A129" s="8">
        <v>243</v>
      </c>
      <c r="B129" s="12" t="s">
        <v>42</v>
      </c>
      <c r="C129" s="8">
        <v>100</v>
      </c>
      <c r="D129" s="14">
        <v>8.27</v>
      </c>
      <c r="E129" s="14">
        <v>17.88</v>
      </c>
      <c r="F129" s="14">
        <v>0.38</v>
      </c>
      <c r="G129" s="14">
        <v>0.14000000000000001</v>
      </c>
      <c r="H129" s="14">
        <v>0</v>
      </c>
      <c r="I129" s="14">
        <v>0</v>
      </c>
      <c r="J129" s="14">
        <v>0</v>
      </c>
      <c r="K129" s="14">
        <v>25.95</v>
      </c>
      <c r="L129" s="14">
        <v>119.25</v>
      </c>
      <c r="M129" s="14">
        <v>15</v>
      </c>
      <c r="N129" s="14">
        <v>1.34</v>
      </c>
      <c r="O129" s="14">
        <v>196.5</v>
      </c>
      <c r="P129" s="23">
        <v>28.62</v>
      </c>
      <c r="Q129" s="3"/>
      <c r="R129" s="2"/>
    </row>
    <row r="130" spans="1:18" ht="34.5" customHeight="1">
      <c r="A130" s="8">
        <v>309</v>
      </c>
      <c r="B130" s="12" t="s">
        <v>36</v>
      </c>
      <c r="C130" s="8">
        <v>100</v>
      </c>
      <c r="D130" s="13">
        <f>3.4/100*$C130</f>
        <v>3.4000000000000004</v>
      </c>
      <c r="E130" s="13">
        <f>5/100*$C130</f>
        <v>5</v>
      </c>
      <c r="F130" s="13">
        <f>19/100*$C130</f>
        <v>19</v>
      </c>
      <c r="G130" s="13">
        <f>0.04/100*$C130</f>
        <v>0.04</v>
      </c>
      <c r="H130" s="13">
        <f>0/100*$C130</f>
        <v>0</v>
      </c>
      <c r="I130" s="13">
        <f>0/100*$C130</f>
        <v>0</v>
      </c>
      <c r="J130" s="13">
        <f>1.3/100*$C130</f>
        <v>1.3</v>
      </c>
      <c r="K130" s="13">
        <f>8/100*$C130</f>
        <v>8</v>
      </c>
      <c r="L130" s="13">
        <f>23/100*$C130</f>
        <v>23</v>
      </c>
      <c r="M130" s="13">
        <f>5/100*$C130</f>
        <v>5</v>
      </c>
      <c r="N130" s="13">
        <f>0.5/100*$C130</f>
        <v>0.5</v>
      </c>
      <c r="O130" s="13">
        <f>134.6/100*$C130</f>
        <v>134.6</v>
      </c>
      <c r="P130" s="13">
        <v>3.52</v>
      </c>
    </row>
    <row r="131" spans="1:18" ht="20.100000000000001" customHeight="1">
      <c r="A131" s="8">
        <v>382</v>
      </c>
      <c r="B131" s="12" t="s">
        <v>32</v>
      </c>
      <c r="C131" s="16">
        <v>200</v>
      </c>
      <c r="D131" s="13">
        <v>3.78</v>
      </c>
      <c r="E131" s="13">
        <v>0.67</v>
      </c>
      <c r="F131" s="13">
        <v>26</v>
      </c>
      <c r="G131" s="13">
        <v>0.02</v>
      </c>
      <c r="H131" s="13">
        <v>1.33</v>
      </c>
      <c r="I131" s="13">
        <v>0</v>
      </c>
      <c r="J131" s="13">
        <v>0</v>
      </c>
      <c r="K131" s="13">
        <v>133.30000000000001</v>
      </c>
      <c r="L131" s="13">
        <v>111.11</v>
      </c>
      <c r="M131" s="13">
        <v>25.56</v>
      </c>
      <c r="N131" s="13">
        <v>2</v>
      </c>
      <c r="O131" s="13">
        <v>125.11</v>
      </c>
      <c r="P131" s="13">
        <v>8.8800000000000008</v>
      </c>
    </row>
    <row r="132" spans="1:18" ht="20.100000000000001" customHeight="1">
      <c r="A132" s="8" t="s">
        <v>20</v>
      </c>
      <c r="B132" s="12" t="s">
        <v>21</v>
      </c>
      <c r="C132" s="8">
        <v>50</v>
      </c>
      <c r="D132" s="13">
        <f>8/100*$C132</f>
        <v>4</v>
      </c>
      <c r="E132" s="13">
        <f>1.509/100*$C132</f>
        <v>0.75449999999999995</v>
      </c>
      <c r="F132" s="13">
        <f>40.127/100*$C132</f>
        <v>20.063500000000001</v>
      </c>
      <c r="G132" s="13">
        <f>0.072/100*$C132</f>
        <v>3.5999999999999997E-2</v>
      </c>
      <c r="H132" s="13">
        <f>0/100*$C132</f>
        <v>0</v>
      </c>
      <c r="I132" s="13">
        <f>0/100*$C132</f>
        <v>0</v>
      </c>
      <c r="J132" s="13">
        <f>2.36/100*$C132</f>
        <v>1.18</v>
      </c>
      <c r="K132" s="13">
        <f>33/100*$C132</f>
        <v>16.5</v>
      </c>
      <c r="L132" s="13">
        <f>234/100*$C132</f>
        <v>117</v>
      </c>
      <c r="M132" s="13">
        <f>66/100*$C132</f>
        <v>33</v>
      </c>
      <c r="N132" s="13">
        <f>4.4/100*$C132</f>
        <v>2.2000000000000002</v>
      </c>
      <c r="O132" s="13">
        <f>208/100*$C132</f>
        <v>104</v>
      </c>
      <c r="P132" s="13">
        <v>1.65</v>
      </c>
    </row>
    <row r="133" spans="1:18" ht="20.100000000000001" customHeight="1">
      <c r="A133" s="8" t="s">
        <v>20</v>
      </c>
      <c r="B133" s="12" t="s">
        <v>22</v>
      </c>
      <c r="C133" s="8">
        <v>50</v>
      </c>
      <c r="D133" s="13">
        <f>4.9/100*$C133</f>
        <v>2.4500000000000002</v>
      </c>
      <c r="E133" s="13">
        <f>1.1/100*$C133</f>
        <v>0.55000000000000004</v>
      </c>
      <c r="F133" s="13">
        <f>48.9/100*$C133</f>
        <v>24.45</v>
      </c>
      <c r="G133" s="13">
        <f>0.1/100*$C133</f>
        <v>0.05</v>
      </c>
      <c r="H133" s="13">
        <f>0/100*$C133</f>
        <v>0</v>
      </c>
      <c r="I133" s="13">
        <f>0/100*$C133</f>
        <v>0</v>
      </c>
      <c r="J133" s="13">
        <f>0.9/100*$C133</f>
        <v>0.45000000000000007</v>
      </c>
      <c r="K133" s="13">
        <f>23/100*$C133</f>
        <v>11.5</v>
      </c>
      <c r="L133" s="13">
        <f>106/100*$C133</f>
        <v>53</v>
      </c>
      <c r="M133" s="13">
        <f>25/100*$C133</f>
        <v>12.5</v>
      </c>
      <c r="N133" s="13">
        <f>3.1/100*$C133</f>
        <v>1.55</v>
      </c>
      <c r="O133" s="13">
        <f>200/100*$C133</f>
        <v>100</v>
      </c>
      <c r="P133" s="13">
        <v>2</v>
      </c>
    </row>
    <row r="134" spans="1:18" ht="20.100000000000001" customHeight="1">
      <c r="A134" s="8">
        <v>338</v>
      </c>
      <c r="B134" s="12" t="s">
        <v>114</v>
      </c>
      <c r="C134" s="8">
        <v>220</v>
      </c>
      <c r="D134" s="13">
        <f>0.622/100*$C134</f>
        <v>1.3684000000000001</v>
      </c>
      <c r="E134" s="13">
        <f>0.622/100*$C134</f>
        <v>1.3684000000000001</v>
      </c>
      <c r="F134" s="13">
        <f>15.256/100*$C134</f>
        <v>33.563200000000002</v>
      </c>
      <c r="G134" s="13">
        <f>0.0556/100*$C134</f>
        <v>0.12232</v>
      </c>
      <c r="H134" s="13">
        <f>15.5/100*$C134</f>
        <v>34.1</v>
      </c>
      <c r="I134" s="13">
        <f>0/100*$C134</f>
        <v>0</v>
      </c>
      <c r="J134" s="13">
        <f>0.31/100*$C134</f>
        <v>0.68199999999999994</v>
      </c>
      <c r="K134" s="13">
        <f>24.878/100*$C134</f>
        <v>54.7316</v>
      </c>
      <c r="L134" s="13">
        <f>17.167/100*$C134</f>
        <v>37.767400000000002</v>
      </c>
      <c r="M134" s="13">
        <f>14/100*$C134</f>
        <v>30.800000000000004</v>
      </c>
      <c r="N134" s="13">
        <f>3.422/100*$C134</f>
        <v>7.5284000000000004</v>
      </c>
      <c r="O134" s="13">
        <f>73.122/100*$C134</f>
        <v>160.86840000000001</v>
      </c>
      <c r="P134" s="13">
        <v>39.6</v>
      </c>
    </row>
    <row r="135" spans="1:18" ht="20.100000000000001" customHeight="1">
      <c r="A135" s="12"/>
      <c r="B135" s="12" t="s">
        <v>23</v>
      </c>
      <c r="C135" s="8"/>
      <c r="D135" s="13">
        <f t="shared" ref="D135:O135" si="17">SUM(D129:D134)</f>
        <v>23.2684</v>
      </c>
      <c r="E135" s="13">
        <f t="shared" si="17"/>
        <v>26.222900000000003</v>
      </c>
      <c r="F135" s="13">
        <f t="shared" si="17"/>
        <v>123.45670000000001</v>
      </c>
      <c r="G135" s="13">
        <f t="shared" si="17"/>
        <v>0.40832000000000002</v>
      </c>
      <c r="H135" s="13">
        <f t="shared" si="17"/>
        <v>35.43</v>
      </c>
      <c r="I135" s="13">
        <f t="shared" si="17"/>
        <v>0</v>
      </c>
      <c r="J135" s="13">
        <f t="shared" si="17"/>
        <v>3.6120000000000001</v>
      </c>
      <c r="K135" s="13">
        <f t="shared" si="17"/>
        <v>249.98160000000001</v>
      </c>
      <c r="L135" s="13">
        <f t="shared" si="17"/>
        <v>461.12740000000002</v>
      </c>
      <c r="M135" s="13">
        <f t="shared" si="17"/>
        <v>121.86000000000001</v>
      </c>
      <c r="N135" s="13">
        <f t="shared" si="17"/>
        <v>15.118400000000001</v>
      </c>
      <c r="O135" s="13">
        <f t="shared" si="17"/>
        <v>821.0784000000001</v>
      </c>
      <c r="P135" s="13">
        <v>84.27</v>
      </c>
    </row>
    <row r="136" spans="1:18" ht="20.100000000000001" customHeight="1">
      <c r="A136" s="32" t="s">
        <v>83</v>
      </c>
      <c r="B136" s="32"/>
      <c r="C136" s="10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</row>
    <row r="137" spans="1:18" ht="34.5" customHeight="1">
      <c r="A137" s="8">
        <v>71</v>
      </c>
      <c r="B137" s="12" t="s">
        <v>95</v>
      </c>
      <c r="C137" s="8">
        <v>40</v>
      </c>
      <c r="D137" s="14">
        <f>0.8/100*$C137</f>
        <v>0.32</v>
      </c>
      <c r="E137" s="14">
        <f>0.1/100*$C137</f>
        <v>0.04</v>
      </c>
      <c r="F137" s="14">
        <f>1.567/100*$C137</f>
        <v>0.62680000000000002</v>
      </c>
      <c r="G137" s="14">
        <f>0.0667/100*$C137</f>
        <v>2.6679999999999999E-2</v>
      </c>
      <c r="H137" s="14">
        <f>3.7667/100*$C137</f>
        <v>1.50668</v>
      </c>
      <c r="I137" s="14">
        <f>11.267/100*$C137</f>
        <v>4.5068000000000001</v>
      </c>
      <c r="J137" s="14">
        <f>0.067/100*$C137</f>
        <v>2.6800000000000001E-2</v>
      </c>
      <c r="K137" s="14">
        <f>17.267/100*$C137</f>
        <v>6.9067999999999996</v>
      </c>
      <c r="L137" s="14">
        <f>18/100*$C137</f>
        <v>7.1999999999999993</v>
      </c>
      <c r="M137" s="14">
        <f>10.5/100*$C137</f>
        <v>4.2</v>
      </c>
      <c r="N137" s="14">
        <f>0.467/100*$C137</f>
        <v>0.18680000000000002</v>
      </c>
      <c r="O137" s="14">
        <f>19.5/100*$C137</f>
        <v>7.8000000000000007</v>
      </c>
      <c r="P137" s="13">
        <v>10.08</v>
      </c>
    </row>
    <row r="138" spans="1:18" ht="42.75" customHeight="1">
      <c r="A138" s="8">
        <v>88</v>
      </c>
      <c r="B138" s="12" t="s">
        <v>56</v>
      </c>
      <c r="C138" s="8" t="s">
        <v>53</v>
      </c>
      <c r="D138" s="13">
        <v>1.55</v>
      </c>
      <c r="E138" s="13">
        <v>4.46</v>
      </c>
      <c r="F138" s="13">
        <v>6.52</v>
      </c>
      <c r="G138" s="13">
        <v>0.04</v>
      </c>
      <c r="H138" s="13">
        <v>15.68</v>
      </c>
      <c r="I138" s="13">
        <v>0.15</v>
      </c>
      <c r="J138" s="13">
        <v>0.03</v>
      </c>
      <c r="K138" s="13">
        <v>32.56</v>
      </c>
      <c r="L138" s="13">
        <v>38.909999999999997</v>
      </c>
      <c r="M138" s="13">
        <v>17.2</v>
      </c>
      <c r="N138" s="13">
        <v>0.6</v>
      </c>
      <c r="O138" s="13">
        <v>77.8</v>
      </c>
      <c r="P138" s="13">
        <v>6.99</v>
      </c>
    </row>
    <row r="139" spans="1:18" ht="20.100000000000001" customHeight="1">
      <c r="A139" s="8">
        <v>234</v>
      </c>
      <c r="B139" s="12" t="s">
        <v>57</v>
      </c>
      <c r="C139" s="8">
        <v>100</v>
      </c>
      <c r="D139" s="13">
        <f>13.8875/100*$C139</f>
        <v>13.887499999999999</v>
      </c>
      <c r="E139" s="13">
        <f>3.75/100*$C139</f>
        <v>3.75</v>
      </c>
      <c r="F139" s="13">
        <f>35/100*$C139</f>
        <v>35</v>
      </c>
      <c r="G139" s="13">
        <f>0.1/100*$C139</f>
        <v>0.1</v>
      </c>
      <c r="H139" s="13">
        <f>0.2/100*$C139</f>
        <v>0.2</v>
      </c>
      <c r="I139" s="13">
        <f>2/100*$C139</f>
        <v>2</v>
      </c>
      <c r="J139" s="13">
        <f>0.025/100*$C139</f>
        <v>2.5000000000000001E-2</v>
      </c>
      <c r="K139" s="13">
        <f>49.45/100*$C139</f>
        <v>49.45</v>
      </c>
      <c r="L139" s="13">
        <f>200.475/100*$C139</f>
        <v>200.47499999999999</v>
      </c>
      <c r="M139" s="13">
        <f>45.6125/100*$C139</f>
        <v>45.612499999999997</v>
      </c>
      <c r="N139" s="13">
        <f>1.15/100*$C139</f>
        <v>1.1499999999999999</v>
      </c>
      <c r="O139" s="13">
        <f>143.35/100*$C139</f>
        <v>143.35</v>
      </c>
      <c r="P139" s="13">
        <v>29.23</v>
      </c>
    </row>
    <row r="140" spans="1:18" ht="20.100000000000001" customHeight="1">
      <c r="A140" s="8">
        <v>128</v>
      </c>
      <c r="B140" s="12" t="s">
        <v>58</v>
      </c>
      <c r="C140" s="8">
        <v>150</v>
      </c>
      <c r="D140" s="14">
        <f>2.46/100*$C140</f>
        <v>3.69</v>
      </c>
      <c r="E140" s="14">
        <f>4.6/100*$C140</f>
        <v>6.8999999999999995</v>
      </c>
      <c r="F140" s="14">
        <f>16.14/100*$C140</f>
        <v>24.21</v>
      </c>
      <c r="G140" s="14">
        <f>0.11/100*$C140</f>
        <v>0.16500000000000001</v>
      </c>
      <c r="H140" s="14">
        <f>14.25/100*$C140</f>
        <v>21.374999999999996</v>
      </c>
      <c r="I140" s="14">
        <f>0.15/100*$C140</f>
        <v>0.22500000000000001</v>
      </c>
      <c r="J140" s="14">
        <f>0.02/100*$C140</f>
        <v>3.0000000000000002E-2</v>
      </c>
      <c r="K140" s="14">
        <f>33.57/100*$C140</f>
        <v>50.354999999999997</v>
      </c>
      <c r="L140" s="14">
        <f>69.22/100*$C140</f>
        <v>103.83000000000001</v>
      </c>
      <c r="M140" s="14">
        <f>23.64/100*$C140</f>
        <v>35.46</v>
      </c>
      <c r="N140" s="14">
        <f t="shared" ref="N140" si="18">0.8/100*$C140</f>
        <v>1.2</v>
      </c>
      <c r="O140" s="14">
        <f>115.73/100*$C140</f>
        <v>173.595</v>
      </c>
      <c r="P140" s="13">
        <v>11.85</v>
      </c>
    </row>
    <row r="141" spans="1:18" s="1" customFormat="1" ht="21.75" customHeight="1">
      <c r="A141" s="8">
        <v>349</v>
      </c>
      <c r="B141" s="12" t="s">
        <v>37</v>
      </c>
      <c r="C141" s="8">
        <v>200</v>
      </c>
      <c r="D141" s="13">
        <v>0.66</v>
      </c>
      <c r="E141" s="13">
        <v>0.09</v>
      </c>
      <c r="F141" s="13">
        <v>33.340000000000003</v>
      </c>
      <c r="G141" s="13">
        <v>0.01</v>
      </c>
      <c r="H141" s="13">
        <v>0.6</v>
      </c>
      <c r="I141" s="13">
        <v>0</v>
      </c>
      <c r="J141" s="13">
        <v>0.12</v>
      </c>
      <c r="K141" s="13">
        <v>67.2</v>
      </c>
      <c r="L141" s="13">
        <v>23.1</v>
      </c>
      <c r="M141" s="13">
        <v>9</v>
      </c>
      <c r="N141" s="13">
        <v>1.86</v>
      </c>
      <c r="O141" s="13">
        <v>140</v>
      </c>
      <c r="P141" s="23">
        <v>3.47</v>
      </c>
      <c r="Q141" s="4"/>
      <c r="R141" s="2"/>
    </row>
    <row r="142" spans="1:18" ht="20.100000000000001" customHeight="1">
      <c r="A142" s="8" t="s">
        <v>20</v>
      </c>
      <c r="B142" s="12" t="s">
        <v>21</v>
      </c>
      <c r="C142" s="8">
        <v>50</v>
      </c>
      <c r="D142" s="13">
        <f>8/100*$C142</f>
        <v>4</v>
      </c>
      <c r="E142" s="13">
        <f>1.509/100*$C142</f>
        <v>0.75449999999999995</v>
      </c>
      <c r="F142" s="13">
        <f>40.127/100*$C142</f>
        <v>20.063500000000001</v>
      </c>
      <c r="G142" s="13">
        <f>0.072/100*$C142</f>
        <v>3.5999999999999997E-2</v>
      </c>
      <c r="H142" s="13">
        <f>0/100*$C142</f>
        <v>0</v>
      </c>
      <c r="I142" s="13">
        <f>0/100*$C142</f>
        <v>0</v>
      </c>
      <c r="J142" s="13">
        <f>2.36/100*$C142</f>
        <v>1.18</v>
      </c>
      <c r="K142" s="13">
        <f>33/100*$C142</f>
        <v>16.5</v>
      </c>
      <c r="L142" s="13">
        <f>234/100*$C142</f>
        <v>117</v>
      </c>
      <c r="M142" s="13">
        <f>66/100*$C142</f>
        <v>33</v>
      </c>
      <c r="N142" s="13">
        <f>4.4/100*$C142</f>
        <v>2.2000000000000002</v>
      </c>
      <c r="O142" s="13">
        <f>208/100*$C142</f>
        <v>104</v>
      </c>
      <c r="P142" s="13">
        <v>1.65</v>
      </c>
    </row>
    <row r="143" spans="1:18" ht="20.100000000000001" customHeight="1">
      <c r="A143" s="8" t="s">
        <v>20</v>
      </c>
      <c r="B143" s="12" t="s">
        <v>22</v>
      </c>
      <c r="C143" s="8">
        <v>75</v>
      </c>
      <c r="D143" s="13">
        <f>4.9/100*$C143</f>
        <v>3.6750000000000003</v>
      </c>
      <c r="E143" s="13">
        <f>1.1/100*$C143</f>
        <v>0.82500000000000007</v>
      </c>
      <c r="F143" s="13">
        <f>48.9/100*$C143</f>
        <v>36.674999999999997</v>
      </c>
      <c r="G143" s="13">
        <f>0.1/100*$C143</f>
        <v>7.4999999999999997E-2</v>
      </c>
      <c r="H143" s="13">
        <f>0/100*$C143</f>
        <v>0</v>
      </c>
      <c r="I143" s="13">
        <f>0/100*$C143</f>
        <v>0</v>
      </c>
      <c r="J143" s="13">
        <f>0.9/100*$C143</f>
        <v>0.67500000000000004</v>
      </c>
      <c r="K143" s="13">
        <f>23/100*$C143</f>
        <v>17.25</v>
      </c>
      <c r="L143" s="13">
        <f>106/100*$C143</f>
        <v>79.5</v>
      </c>
      <c r="M143" s="13">
        <f>25/100*$C143</f>
        <v>18.75</v>
      </c>
      <c r="N143" s="13">
        <f>3.1/100*$C143</f>
        <v>2.3250000000000002</v>
      </c>
      <c r="O143" s="13">
        <f>200/100*$C143</f>
        <v>150</v>
      </c>
      <c r="P143" s="13">
        <v>3</v>
      </c>
    </row>
    <row r="144" spans="1:18" ht="20.100000000000001" customHeight="1">
      <c r="A144" s="12"/>
      <c r="B144" s="12" t="s">
        <v>27</v>
      </c>
      <c r="C144" s="12"/>
      <c r="D144" s="13">
        <f t="shared" ref="D144:O144" si="19">SUM(D137:D143)</f>
        <v>27.782500000000002</v>
      </c>
      <c r="E144" s="13">
        <f t="shared" si="19"/>
        <v>16.819499999999998</v>
      </c>
      <c r="F144" s="13">
        <f t="shared" si="19"/>
        <v>156.43529999999998</v>
      </c>
      <c r="G144" s="13">
        <f t="shared" si="19"/>
        <v>0.45267999999999997</v>
      </c>
      <c r="H144" s="13">
        <f t="shared" si="19"/>
        <v>39.36168</v>
      </c>
      <c r="I144" s="13">
        <f t="shared" si="19"/>
        <v>6.8818000000000001</v>
      </c>
      <c r="J144" s="13">
        <f t="shared" si="19"/>
        <v>2.0868000000000002</v>
      </c>
      <c r="K144" s="13">
        <f t="shared" si="19"/>
        <v>240.22179999999997</v>
      </c>
      <c r="L144" s="13">
        <f t="shared" si="19"/>
        <v>570.01499999999999</v>
      </c>
      <c r="M144" s="13">
        <f t="shared" si="19"/>
        <v>163.2225</v>
      </c>
      <c r="N144" s="13">
        <f t="shared" si="19"/>
        <v>9.5218000000000007</v>
      </c>
      <c r="O144" s="13">
        <f t="shared" si="19"/>
        <v>796.54499999999996</v>
      </c>
      <c r="P144" s="13">
        <v>66.27</v>
      </c>
    </row>
    <row r="145" spans="1:16" ht="20.100000000000001" customHeight="1">
      <c r="A145" s="12"/>
      <c r="B145" s="12" t="s">
        <v>28</v>
      </c>
      <c r="C145" s="12"/>
      <c r="D145" s="13">
        <f t="shared" ref="D145:O145" si="20">SUM(D135,D144)</f>
        <v>51.050899999999999</v>
      </c>
      <c r="E145" s="13">
        <f t="shared" si="20"/>
        <v>43.042400000000001</v>
      </c>
      <c r="F145" s="13">
        <f t="shared" si="20"/>
        <v>279.892</v>
      </c>
      <c r="G145" s="13">
        <f t="shared" si="20"/>
        <v>0.86099999999999999</v>
      </c>
      <c r="H145" s="13">
        <f t="shared" si="20"/>
        <v>74.791679999999999</v>
      </c>
      <c r="I145" s="13">
        <f t="shared" si="20"/>
        <v>6.8818000000000001</v>
      </c>
      <c r="J145" s="13">
        <f t="shared" si="20"/>
        <v>5.6988000000000003</v>
      </c>
      <c r="K145" s="13">
        <f t="shared" si="20"/>
        <v>490.20339999999999</v>
      </c>
      <c r="L145" s="13">
        <f t="shared" si="20"/>
        <v>1031.1424</v>
      </c>
      <c r="M145" s="13">
        <f t="shared" si="20"/>
        <v>285.08249999999998</v>
      </c>
      <c r="N145" s="13">
        <f t="shared" si="20"/>
        <v>24.6402</v>
      </c>
      <c r="O145" s="13">
        <f t="shared" si="20"/>
        <v>1617.6233999999999</v>
      </c>
      <c r="P145" s="13">
        <v>150.54</v>
      </c>
    </row>
    <row r="146" spans="1:16" ht="20.100000000000001" customHeight="1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</row>
    <row r="147" spans="1:16" ht="20.100000000000001" customHeight="1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</row>
    <row r="148" spans="1:16" ht="20.100000000000001" customHeight="1">
      <c r="A148" s="24"/>
      <c r="B148" s="26" t="s">
        <v>29</v>
      </c>
      <c r="C148" s="26"/>
      <c r="D148" s="26"/>
      <c r="E148" s="24"/>
      <c r="F148" s="24"/>
      <c r="G148" s="24"/>
      <c r="H148" s="24"/>
      <c r="I148" s="24"/>
      <c r="J148" s="15" t="s">
        <v>30</v>
      </c>
      <c r="K148" s="15"/>
      <c r="L148" s="15"/>
      <c r="M148" s="15"/>
      <c r="N148" s="24"/>
      <c r="O148" s="24"/>
      <c r="P148" s="24"/>
    </row>
    <row r="149" spans="1:16" ht="20.100000000000001" customHeight="1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</row>
    <row r="150" spans="1:16" ht="20.100000000000001" customHeight="1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</row>
    <row r="151" spans="1:16" ht="20.100000000000001" customHeight="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</row>
    <row r="152" spans="1:16" ht="20.100000000000001" customHeight="1">
      <c r="A152" s="27" t="s">
        <v>82</v>
      </c>
      <c r="B152" s="28"/>
      <c r="C152" s="18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</row>
    <row r="153" spans="1:16" ht="37.5" customHeight="1">
      <c r="A153" s="8">
        <v>181</v>
      </c>
      <c r="B153" s="12" t="s">
        <v>107</v>
      </c>
      <c r="C153" s="8">
        <v>200</v>
      </c>
      <c r="D153" s="14">
        <v>6.01</v>
      </c>
      <c r="E153" s="14">
        <v>3.52</v>
      </c>
      <c r="F153" s="14">
        <v>32.25</v>
      </c>
      <c r="G153" s="14">
        <v>0.08</v>
      </c>
      <c r="H153" s="14">
        <v>1.17</v>
      </c>
      <c r="I153" s="14">
        <v>0.18</v>
      </c>
      <c r="J153" s="14">
        <v>0</v>
      </c>
      <c r="K153" s="14">
        <v>131.30000000000001</v>
      </c>
      <c r="L153" s="14">
        <v>115.19</v>
      </c>
      <c r="M153" s="14">
        <v>20.3</v>
      </c>
      <c r="N153" s="14">
        <v>0.47</v>
      </c>
      <c r="O153" s="14">
        <v>185.28</v>
      </c>
      <c r="P153" s="13">
        <v>6.92</v>
      </c>
    </row>
    <row r="154" spans="1:16" ht="26.25" customHeight="1">
      <c r="A154" s="8">
        <v>14</v>
      </c>
      <c r="B154" s="12" t="s">
        <v>92</v>
      </c>
      <c r="C154" s="20">
        <v>10</v>
      </c>
      <c r="D154" s="21">
        <v>0.1</v>
      </c>
      <c r="E154" s="21">
        <v>7.2</v>
      </c>
      <c r="F154" s="21">
        <v>0.13</v>
      </c>
      <c r="G154" s="21">
        <v>0</v>
      </c>
      <c r="H154" s="21">
        <v>0</v>
      </c>
      <c r="I154" s="21">
        <v>0.4</v>
      </c>
      <c r="J154" s="21">
        <v>0.01</v>
      </c>
      <c r="K154" s="21">
        <v>2.4</v>
      </c>
      <c r="L154" s="21">
        <v>3</v>
      </c>
      <c r="M154" s="21">
        <v>0</v>
      </c>
      <c r="N154" s="21">
        <v>0</v>
      </c>
      <c r="O154" s="21">
        <v>65.72</v>
      </c>
      <c r="P154" s="21">
        <v>6.1</v>
      </c>
    </row>
    <row r="155" spans="1:16" ht="20.100000000000001" customHeight="1">
      <c r="A155" s="8">
        <v>15</v>
      </c>
      <c r="B155" s="12" t="s">
        <v>18</v>
      </c>
      <c r="C155" s="8">
        <v>30</v>
      </c>
      <c r="D155" s="13">
        <f>26.28/100*$C155</f>
        <v>7.8840000000000012</v>
      </c>
      <c r="E155" s="13">
        <f>26.6/100*$C155</f>
        <v>7.98</v>
      </c>
      <c r="F155" s="13">
        <f>0/100*$C155</f>
        <v>0</v>
      </c>
      <c r="G155" s="13">
        <f>0.04/100*$C155</f>
        <v>1.2E-2</v>
      </c>
      <c r="H155" s="13">
        <f>0.68/100*$C155</f>
        <v>0.20400000000000001</v>
      </c>
      <c r="I155" s="13">
        <f>2.08/100*$C155</f>
        <v>0.624</v>
      </c>
      <c r="J155" s="13">
        <f>0/100*$C155</f>
        <v>0</v>
      </c>
      <c r="K155" s="13">
        <f>996/100*$C155</f>
        <v>298.8</v>
      </c>
      <c r="L155" s="13">
        <f>599.6/100*$C155</f>
        <v>179.88000000000002</v>
      </c>
      <c r="M155" s="13">
        <f>54.96/100*$C155</f>
        <v>16.488</v>
      </c>
      <c r="N155" s="13">
        <f>0.68/100*$C155</f>
        <v>0.20400000000000001</v>
      </c>
      <c r="O155" s="13">
        <f>343.2/100*$C155</f>
        <v>102.96</v>
      </c>
      <c r="P155" s="13">
        <v>21.44</v>
      </c>
    </row>
    <row r="156" spans="1:16" ht="20.100000000000001" customHeight="1">
      <c r="A156" s="8">
        <v>378</v>
      </c>
      <c r="B156" s="12" t="s">
        <v>19</v>
      </c>
      <c r="C156" s="8">
        <v>200</v>
      </c>
      <c r="D156" s="13">
        <v>1.52</v>
      </c>
      <c r="E156" s="13">
        <v>1.35</v>
      </c>
      <c r="F156" s="13">
        <v>15.9</v>
      </c>
      <c r="G156" s="13">
        <v>0.04</v>
      </c>
      <c r="H156" s="13">
        <v>1.33</v>
      </c>
      <c r="I156" s="13">
        <v>10</v>
      </c>
      <c r="J156" s="13">
        <v>0</v>
      </c>
      <c r="K156" s="13">
        <v>126.6</v>
      </c>
      <c r="L156" s="13">
        <v>92.8</v>
      </c>
      <c r="M156" s="13">
        <v>15.4</v>
      </c>
      <c r="N156" s="13">
        <v>0.41</v>
      </c>
      <c r="O156" s="13">
        <v>81</v>
      </c>
      <c r="P156" s="13">
        <v>4.5999999999999996</v>
      </c>
    </row>
    <row r="157" spans="1:16" ht="20.100000000000001" customHeight="1">
      <c r="A157" s="8" t="s">
        <v>20</v>
      </c>
      <c r="B157" s="12" t="s">
        <v>21</v>
      </c>
      <c r="C157" s="8">
        <v>50</v>
      </c>
      <c r="D157" s="13">
        <f>8/100*$C157</f>
        <v>4</v>
      </c>
      <c r="E157" s="13">
        <f>1.509/100*$C157</f>
        <v>0.75449999999999995</v>
      </c>
      <c r="F157" s="13">
        <f>40.127/100*$C157</f>
        <v>20.063500000000001</v>
      </c>
      <c r="G157" s="13">
        <f>0.072/100*$C157</f>
        <v>3.5999999999999997E-2</v>
      </c>
      <c r="H157" s="13">
        <f>0/100*$C157</f>
        <v>0</v>
      </c>
      <c r="I157" s="13">
        <f>0/100*$C157</f>
        <v>0</v>
      </c>
      <c r="J157" s="13">
        <f>2.36/100*$C157</f>
        <v>1.18</v>
      </c>
      <c r="K157" s="13">
        <f>33/100*$C157</f>
        <v>16.5</v>
      </c>
      <c r="L157" s="13">
        <f>234/100*$C157</f>
        <v>117</v>
      </c>
      <c r="M157" s="13">
        <f>66/100*$C157</f>
        <v>33</v>
      </c>
      <c r="N157" s="13">
        <f>4.4/100*$C157</f>
        <v>2.2000000000000002</v>
      </c>
      <c r="O157" s="13">
        <f>208/100*$C157</f>
        <v>104</v>
      </c>
      <c r="P157" s="13">
        <v>1.65</v>
      </c>
    </row>
    <row r="158" spans="1:16" ht="20.100000000000001" customHeight="1">
      <c r="A158" s="8" t="s">
        <v>20</v>
      </c>
      <c r="B158" s="12" t="s">
        <v>22</v>
      </c>
      <c r="C158" s="8">
        <v>50</v>
      </c>
      <c r="D158" s="13">
        <f>4.9/100*$C158</f>
        <v>2.4500000000000002</v>
      </c>
      <c r="E158" s="13">
        <f>1.1/100*$C158</f>
        <v>0.55000000000000004</v>
      </c>
      <c r="F158" s="13">
        <f>48.9/100*$C158</f>
        <v>24.45</v>
      </c>
      <c r="G158" s="13">
        <f>0.1/100*$C158</f>
        <v>0.05</v>
      </c>
      <c r="H158" s="13">
        <f>0/100*$C158</f>
        <v>0</v>
      </c>
      <c r="I158" s="13">
        <f>0/100*$C158</f>
        <v>0</v>
      </c>
      <c r="J158" s="13">
        <f>0.9/100*$C158</f>
        <v>0.45000000000000007</v>
      </c>
      <c r="K158" s="13">
        <f>23/100*$C158</f>
        <v>11.5</v>
      </c>
      <c r="L158" s="13">
        <f>106/100*$C158</f>
        <v>53</v>
      </c>
      <c r="M158" s="13">
        <f>25/100*$C158</f>
        <v>12.5</v>
      </c>
      <c r="N158" s="13">
        <f>3.1/100*$C158</f>
        <v>1.55</v>
      </c>
      <c r="O158" s="13">
        <f>200/100*$C158</f>
        <v>100</v>
      </c>
      <c r="P158" s="13">
        <v>2</v>
      </c>
    </row>
    <row r="159" spans="1:16" ht="20.100000000000001" customHeight="1">
      <c r="A159" s="8" t="s">
        <v>20</v>
      </c>
      <c r="B159" s="12" t="s">
        <v>105</v>
      </c>
      <c r="C159" s="8">
        <v>30</v>
      </c>
      <c r="D159" s="13">
        <v>4.59</v>
      </c>
      <c r="E159" s="13">
        <v>5.95</v>
      </c>
      <c r="F159" s="13">
        <v>49.6</v>
      </c>
      <c r="G159" s="13">
        <v>0.2</v>
      </c>
      <c r="H159" s="13">
        <v>0</v>
      </c>
      <c r="I159" s="13">
        <v>0</v>
      </c>
      <c r="J159" s="13">
        <v>3</v>
      </c>
      <c r="K159" s="13">
        <v>24.7</v>
      </c>
      <c r="L159" s="13">
        <v>63</v>
      </c>
      <c r="M159" s="13">
        <v>17</v>
      </c>
      <c r="N159" s="13">
        <v>1.8</v>
      </c>
      <c r="O159" s="13">
        <v>169.9</v>
      </c>
      <c r="P159" s="13">
        <v>10</v>
      </c>
    </row>
    <row r="160" spans="1:16" ht="20.100000000000001" customHeight="1">
      <c r="A160" s="12"/>
      <c r="B160" s="12" t="s">
        <v>23</v>
      </c>
      <c r="C160" s="12"/>
      <c r="D160" s="13">
        <f t="shared" ref="D160:O160" si="21">SUM(D153:D159)</f>
        <v>26.553999999999998</v>
      </c>
      <c r="E160" s="13">
        <f t="shared" si="21"/>
        <v>27.304500000000004</v>
      </c>
      <c r="F160" s="13">
        <f t="shared" si="21"/>
        <v>142.39350000000002</v>
      </c>
      <c r="G160" s="13">
        <f t="shared" si="21"/>
        <v>0.41800000000000004</v>
      </c>
      <c r="H160" s="13">
        <f t="shared" si="21"/>
        <v>2.7039999999999997</v>
      </c>
      <c r="I160" s="13">
        <f t="shared" si="21"/>
        <v>11.204000000000001</v>
      </c>
      <c r="J160" s="13">
        <f t="shared" si="21"/>
        <v>4.6400000000000006</v>
      </c>
      <c r="K160" s="13">
        <f t="shared" si="21"/>
        <v>611.80000000000007</v>
      </c>
      <c r="L160" s="13">
        <f t="shared" si="21"/>
        <v>623.87000000000012</v>
      </c>
      <c r="M160" s="13">
        <f t="shared" si="21"/>
        <v>114.68799999999999</v>
      </c>
      <c r="N160" s="13">
        <f t="shared" si="21"/>
        <v>6.6339999999999995</v>
      </c>
      <c r="O160" s="13">
        <f t="shared" si="21"/>
        <v>808.86</v>
      </c>
      <c r="P160" s="13">
        <v>52.71</v>
      </c>
    </row>
    <row r="161" spans="1:16" ht="20.100000000000001" customHeight="1">
      <c r="A161" s="30" t="s">
        <v>81</v>
      </c>
      <c r="B161" s="31"/>
      <c r="C161" s="18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</row>
    <row r="162" spans="1:16" ht="26.25" customHeight="1">
      <c r="A162" s="8">
        <v>71</v>
      </c>
      <c r="B162" s="12" t="s">
        <v>99</v>
      </c>
      <c r="C162" s="8">
        <v>40</v>
      </c>
      <c r="D162" s="14">
        <f>0.8/100*$C162</f>
        <v>0.32</v>
      </c>
      <c r="E162" s="14">
        <f>0.1/100*$C162</f>
        <v>0.04</v>
      </c>
      <c r="F162" s="14">
        <f>1.567/100*$C162</f>
        <v>0.62680000000000002</v>
      </c>
      <c r="G162" s="14">
        <f>0.0667/100*$C162</f>
        <v>2.6679999999999999E-2</v>
      </c>
      <c r="H162" s="14">
        <f>3.7667/100*$C162</f>
        <v>1.50668</v>
      </c>
      <c r="I162" s="14">
        <f>11.267/100*$C162</f>
        <v>4.5068000000000001</v>
      </c>
      <c r="J162" s="14">
        <f>0.067/100*$C162</f>
        <v>2.6800000000000001E-2</v>
      </c>
      <c r="K162" s="14">
        <f>17.267/100*$C162</f>
        <v>6.9067999999999996</v>
      </c>
      <c r="L162" s="14">
        <f>18/100*$C162</f>
        <v>7.1999999999999993</v>
      </c>
      <c r="M162" s="14">
        <f>10.5/100*$C162</f>
        <v>4.2</v>
      </c>
      <c r="N162" s="14">
        <f>0.467/100*$C162</f>
        <v>0.18680000000000002</v>
      </c>
      <c r="O162" s="14">
        <f>19.5/100*$C162</f>
        <v>7.8000000000000007</v>
      </c>
      <c r="P162" s="13">
        <v>10</v>
      </c>
    </row>
    <row r="163" spans="1:16" ht="32.25" customHeight="1">
      <c r="A163" s="8">
        <v>84</v>
      </c>
      <c r="B163" s="12" t="s">
        <v>117</v>
      </c>
      <c r="C163" s="8" t="s">
        <v>53</v>
      </c>
      <c r="D163" s="13">
        <v>2.99</v>
      </c>
      <c r="E163" s="13">
        <v>4.59</v>
      </c>
      <c r="F163" s="13">
        <v>11.53</v>
      </c>
      <c r="G163" s="13">
        <v>7.0000000000000007E-2</v>
      </c>
      <c r="H163" s="13">
        <v>5.6</v>
      </c>
      <c r="I163" s="13">
        <v>1.25</v>
      </c>
      <c r="J163" s="13">
        <v>0.01</v>
      </c>
      <c r="K163" s="13">
        <v>37.04</v>
      </c>
      <c r="L163" s="13">
        <v>82.5</v>
      </c>
      <c r="M163" s="13">
        <v>27.87</v>
      </c>
      <c r="N163" s="13">
        <v>1.37</v>
      </c>
      <c r="O163" s="13">
        <v>102.2</v>
      </c>
      <c r="P163" s="13">
        <v>10.73</v>
      </c>
    </row>
    <row r="164" spans="1:16" ht="34.5" customHeight="1">
      <c r="A164" s="8">
        <v>268</v>
      </c>
      <c r="B164" s="12" t="s">
        <v>115</v>
      </c>
      <c r="C164" s="8" t="s">
        <v>48</v>
      </c>
      <c r="D164" s="13">
        <v>14.82</v>
      </c>
      <c r="E164" s="13">
        <v>12.44</v>
      </c>
      <c r="F164" s="13">
        <v>18.16</v>
      </c>
      <c r="G164" s="13">
        <v>0.12</v>
      </c>
      <c r="H164" s="13">
        <v>0.4</v>
      </c>
      <c r="I164" s="13">
        <v>3.92</v>
      </c>
      <c r="J164" s="13">
        <v>0.02</v>
      </c>
      <c r="K164" s="13">
        <v>47.12</v>
      </c>
      <c r="L164" s="13">
        <v>184.4</v>
      </c>
      <c r="M164" s="13">
        <v>32.54</v>
      </c>
      <c r="N164" s="13">
        <v>1.56</v>
      </c>
      <c r="O164" s="13">
        <v>291.2</v>
      </c>
      <c r="P164" s="13">
        <v>24.88</v>
      </c>
    </row>
    <row r="165" spans="1:16" ht="20.100000000000001" customHeight="1">
      <c r="A165" s="8">
        <v>321</v>
      </c>
      <c r="B165" s="12" t="s">
        <v>43</v>
      </c>
      <c r="C165" s="8">
        <v>100</v>
      </c>
      <c r="D165" s="14">
        <f>11.96/100*$C165</f>
        <v>11.96</v>
      </c>
      <c r="E165" s="14">
        <f>4.27/100*$C165</f>
        <v>4.2699999999999996</v>
      </c>
      <c r="F165" s="14">
        <f>5.73/100*$C165</f>
        <v>5.73</v>
      </c>
      <c r="G165" s="14">
        <f>0.03/100*$C165</f>
        <v>0.03</v>
      </c>
      <c r="H165" s="14">
        <f>15.9/100*$C165</f>
        <v>15.9</v>
      </c>
      <c r="I165" s="14">
        <f>0/100*$C165</f>
        <v>0</v>
      </c>
      <c r="J165" s="14">
        <f>1.6/100*$C165</f>
        <v>1.6</v>
      </c>
      <c r="K165" s="14">
        <f>52.2/100*$C165</f>
        <v>52.2</v>
      </c>
      <c r="L165" s="14">
        <f>38.56/100*$C165</f>
        <v>38.56</v>
      </c>
      <c r="M165" s="14">
        <f>19.7/100*$C165</f>
        <v>19.7</v>
      </c>
      <c r="N165" s="14">
        <f>0.73/100*$C165</f>
        <v>0.73</v>
      </c>
      <c r="O165" s="14">
        <f>74/100*$C165</f>
        <v>74</v>
      </c>
      <c r="P165" s="13">
        <v>6.94</v>
      </c>
    </row>
    <row r="166" spans="1:16" ht="20.100000000000001" customHeight="1">
      <c r="A166" s="8">
        <v>924</v>
      </c>
      <c r="B166" s="12" t="s">
        <v>104</v>
      </c>
      <c r="C166" s="8">
        <v>200</v>
      </c>
      <c r="D166" s="13">
        <v>0</v>
      </c>
      <c r="E166" s="13">
        <v>0</v>
      </c>
      <c r="F166" s="13">
        <v>26.3</v>
      </c>
      <c r="G166" s="13">
        <v>0.01</v>
      </c>
      <c r="H166" s="13">
        <v>28</v>
      </c>
      <c r="I166" s="13">
        <v>0</v>
      </c>
      <c r="J166" s="13">
        <v>0</v>
      </c>
      <c r="K166" s="13">
        <v>23.7</v>
      </c>
      <c r="L166" s="13">
        <v>18.399999999999999</v>
      </c>
      <c r="M166" s="13">
        <v>13.4</v>
      </c>
      <c r="N166" s="13">
        <v>0.71</v>
      </c>
      <c r="O166" s="13">
        <v>105.4</v>
      </c>
      <c r="P166" s="13">
        <v>6.46</v>
      </c>
    </row>
    <row r="167" spans="1:16" ht="20.100000000000001" customHeight="1">
      <c r="A167" s="8">
        <v>338</v>
      </c>
      <c r="B167" s="12" t="s">
        <v>116</v>
      </c>
      <c r="C167" s="8">
        <v>200</v>
      </c>
      <c r="D167" s="13">
        <f>0.622/100*$C167</f>
        <v>1.244</v>
      </c>
      <c r="E167" s="13">
        <f>0.622/100*$C167</f>
        <v>1.244</v>
      </c>
      <c r="F167" s="13">
        <f>15.256/100*$C167</f>
        <v>30.512</v>
      </c>
      <c r="G167" s="13">
        <f>0.0556/100*$C167</f>
        <v>0.11119999999999999</v>
      </c>
      <c r="H167" s="13">
        <f>15.5/100*$C167</f>
        <v>31</v>
      </c>
      <c r="I167" s="13">
        <f>0/100*$C167</f>
        <v>0</v>
      </c>
      <c r="J167" s="13">
        <f>0.31/100*$C167</f>
        <v>0.62</v>
      </c>
      <c r="K167" s="13">
        <f>24.878/100*$C167</f>
        <v>49.756</v>
      </c>
      <c r="L167" s="13">
        <f>17.167/100*$C167</f>
        <v>34.334000000000003</v>
      </c>
      <c r="M167" s="13">
        <f>14/100*$C167</f>
        <v>28.000000000000004</v>
      </c>
      <c r="N167" s="13">
        <f>3.422/100*$C167</f>
        <v>6.8440000000000003</v>
      </c>
      <c r="O167" s="13">
        <f>73.122/100*$C167</f>
        <v>146.244</v>
      </c>
      <c r="P167" s="13">
        <v>34.369999999999997</v>
      </c>
    </row>
    <row r="168" spans="1:16" ht="20.100000000000001" customHeight="1">
      <c r="A168" s="8" t="s">
        <v>20</v>
      </c>
      <c r="B168" s="12" t="s">
        <v>59</v>
      </c>
      <c r="C168" s="8">
        <v>50</v>
      </c>
      <c r="D168" s="13">
        <f>8/100*$C168</f>
        <v>4</v>
      </c>
      <c r="E168" s="13">
        <f>1.509/100*$C168</f>
        <v>0.75449999999999995</v>
      </c>
      <c r="F168" s="13">
        <f>40.127/100*$C168</f>
        <v>20.063500000000001</v>
      </c>
      <c r="G168" s="13">
        <f>0.072/100*$C168</f>
        <v>3.5999999999999997E-2</v>
      </c>
      <c r="H168" s="13">
        <f>0/100*$C168</f>
        <v>0</v>
      </c>
      <c r="I168" s="13">
        <f>0/100*$C168</f>
        <v>0</v>
      </c>
      <c r="J168" s="13">
        <f>2.36/100*$C168</f>
        <v>1.18</v>
      </c>
      <c r="K168" s="13">
        <f>33/100*$C168</f>
        <v>16.5</v>
      </c>
      <c r="L168" s="13">
        <f>234/100*$C168</f>
        <v>117</v>
      </c>
      <c r="M168" s="13">
        <f>66/100*$C168</f>
        <v>33</v>
      </c>
      <c r="N168" s="13">
        <f>4.4/100*$C168</f>
        <v>2.2000000000000002</v>
      </c>
      <c r="O168" s="13">
        <f>208/100*$C168</f>
        <v>104</v>
      </c>
      <c r="P168" s="13">
        <v>1.65</v>
      </c>
    </row>
    <row r="169" spans="1:16" ht="20.100000000000001" customHeight="1">
      <c r="A169" s="8" t="s">
        <v>20</v>
      </c>
      <c r="B169" s="12" t="s">
        <v>22</v>
      </c>
      <c r="C169" s="8">
        <v>70</v>
      </c>
      <c r="D169" s="13">
        <f>4.9/100*$C169</f>
        <v>3.43</v>
      </c>
      <c r="E169" s="13">
        <f>1.1/100*$C169</f>
        <v>0.77000000000000013</v>
      </c>
      <c r="F169" s="13">
        <f>48.9/100*$C169</f>
        <v>34.229999999999997</v>
      </c>
      <c r="G169" s="13">
        <f>0.1/100*$C169</f>
        <v>7.0000000000000007E-2</v>
      </c>
      <c r="H169" s="13">
        <f>0/100*$C169</f>
        <v>0</v>
      </c>
      <c r="I169" s="13">
        <f>0/100*$C169</f>
        <v>0</v>
      </c>
      <c r="J169" s="13">
        <f>0.9/100*$C169</f>
        <v>0.63000000000000012</v>
      </c>
      <c r="K169" s="13">
        <f>23/100*$C169</f>
        <v>16.100000000000001</v>
      </c>
      <c r="L169" s="13">
        <f>106/100*$C169</f>
        <v>74.2</v>
      </c>
      <c r="M169" s="13">
        <f>25/100*$C169</f>
        <v>17.5</v>
      </c>
      <c r="N169" s="13">
        <f>3.1/100*$C169</f>
        <v>2.17</v>
      </c>
      <c r="O169" s="13">
        <f>200/100*$C169</f>
        <v>140</v>
      </c>
      <c r="P169" s="13">
        <v>2.8</v>
      </c>
    </row>
    <row r="170" spans="1:16" ht="20.100000000000001" customHeight="1">
      <c r="A170" s="12"/>
      <c r="B170" s="12" t="s">
        <v>27</v>
      </c>
      <c r="C170" s="12"/>
      <c r="D170" s="13">
        <f t="shared" ref="D170:O170" si="22">SUM(D162:D169)</f>
        <v>38.764000000000003</v>
      </c>
      <c r="E170" s="13">
        <f t="shared" si="22"/>
        <v>24.108499999999999</v>
      </c>
      <c r="F170" s="13">
        <f t="shared" si="22"/>
        <v>147.1523</v>
      </c>
      <c r="G170" s="13">
        <f t="shared" si="22"/>
        <v>0.47387999999999997</v>
      </c>
      <c r="H170" s="13">
        <f t="shared" si="22"/>
        <v>82.406679999999994</v>
      </c>
      <c r="I170" s="13">
        <f t="shared" si="22"/>
        <v>9.6768000000000001</v>
      </c>
      <c r="J170" s="13">
        <f t="shared" si="22"/>
        <v>4.0868000000000002</v>
      </c>
      <c r="K170" s="13">
        <f t="shared" si="22"/>
        <v>249.32279999999997</v>
      </c>
      <c r="L170" s="13">
        <f t="shared" si="22"/>
        <v>556.59400000000005</v>
      </c>
      <c r="M170" s="13">
        <f t="shared" si="22"/>
        <v>176.21</v>
      </c>
      <c r="N170" s="13">
        <f t="shared" si="22"/>
        <v>15.770799999999999</v>
      </c>
      <c r="O170" s="13">
        <f t="shared" si="22"/>
        <v>970.84400000000005</v>
      </c>
      <c r="P170" s="13">
        <v>97.83</v>
      </c>
    </row>
    <row r="171" spans="1:16" ht="20.100000000000001" customHeight="1">
      <c r="A171" s="12"/>
      <c r="B171" s="12" t="s">
        <v>28</v>
      </c>
      <c r="C171" s="12"/>
      <c r="D171" s="13">
        <f t="shared" ref="D171:O171" si="23">SUM(D160,D170)</f>
        <v>65.317999999999998</v>
      </c>
      <c r="E171" s="13">
        <f t="shared" si="23"/>
        <v>51.413000000000004</v>
      </c>
      <c r="F171" s="13">
        <f t="shared" si="23"/>
        <v>289.54579999999999</v>
      </c>
      <c r="G171" s="13">
        <f t="shared" si="23"/>
        <v>0.89188000000000001</v>
      </c>
      <c r="H171" s="13">
        <f t="shared" si="23"/>
        <v>85.110679999999988</v>
      </c>
      <c r="I171" s="13">
        <f t="shared" si="23"/>
        <v>20.880800000000001</v>
      </c>
      <c r="J171" s="13">
        <f t="shared" si="23"/>
        <v>8.7268000000000008</v>
      </c>
      <c r="K171" s="13">
        <f t="shared" si="23"/>
        <v>861.1228000000001</v>
      </c>
      <c r="L171" s="13">
        <f t="shared" si="23"/>
        <v>1180.4640000000002</v>
      </c>
      <c r="M171" s="13">
        <f t="shared" si="23"/>
        <v>290.89800000000002</v>
      </c>
      <c r="N171" s="13">
        <f t="shared" si="23"/>
        <v>22.404799999999998</v>
      </c>
      <c r="O171" s="13">
        <f t="shared" si="23"/>
        <v>1779.7040000000002</v>
      </c>
      <c r="P171" s="13">
        <v>150.54</v>
      </c>
    </row>
    <row r="172" spans="1:16" ht="20.100000000000001" customHeight="1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</row>
    <row r="173" spans="1:16" ht="20.100000000000001" customHeight="1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</row>
    <row r="174" spans="1:16" ht="20.100000000000001" customHeight="1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</row>
    <row r="175" spans="1:16" ht="20.100000000000001" customHeight="1">
      <c r="A175" s="24"/>
      <c r="B175" s="26" t="s">
        <v>29</v>
      </c>
      <c r="C175" s="26"/>
      <c r="D175" s="26"/>
      <c r="E175" s="24"/>
      <c r="F175" s="24"/>
      <c r="G175" s="24"/>
      <c r="H175" s="24"/>
      <c r="I175" s="24"/>
      <c r="J175" s="15" t="s">
        <v>30</v>
      </c>
      <c r="K175" s="15"/>
      <c r="L175" s="15"/>
      <c r="M175" s="15"/>
      <c r="N175" s="24"/>
      <c r="O175" s="24"/>
      <c r="P175" s="24"/>
    </row>
    <row r="176" spans="1:16" ht="20.100000000000001" customHeight="1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</row>
    <row r="177" spans="1:16" ht="20.100000000000001" customHeight="1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</row>
    <row r="178" spans="1:16" ht="20.100000000000001" customHeight="1">
      <c r="A178" s="27" t="s">
        <v>80</v>
      </c>
      <c r="B178" s="28"/>
      <c r="C178" s="18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</row>
    <row r="179" spans="1:16" ht="20.100000000000001" customHeight="1">
      <c r="A179" s="8">
        <v>265</v>
      </c>
      <c r="B179" s="12" t="s">
        <v>38</v>
      </c>
      <c r="C179" s="8">
        <v>100</v>
      </c>
      <c r="D179" s="14">
        <f>10.99/100*$C179</f>
        <v>10.99</v>
      </c>
      <c r="E179" s="13">
        <f>11.257/100*$C179</f>
        <v>11.257</v>
      </c>
      <c r="F179" s="13">
        <f>17.35/100*$C179</f>
        <v>17.350000000000001</v>
      </c>
      <c r="G179" s="13">
        <f>0.0357/100*$C179</f>
        <v>3.5700000000000003E-2</v>
      </c>
      <c r="H179" s="13">
        <f>0.85/100*$C179</f>
        <v>0.85000000000000009</v>
      </c>
      <c r="I179" s="13">
        <f>0/100*$C179</f>
        <v>0</v>
      </c>
      <c r="J179" s="13">
        <f>0/100*$C179</f>
        <v>0</v>
      </c>
      <c r="K179" s="13">
        <f>9.4857/100*$C179</f>
        <v>9.4856999999999996</v>
      </c>
      <c r="L179" s="13">
        <f>133.4/100*$C179</f>
        <v>133.4</v>
      </c>
      <c r="M179" s="13">
        <f>26.22/100*$C179</f>
        <v>26.22</v>
      </c>
      <c r="N179" s="13">
        <f>1.764/100*$C179</f>
        <v>1.764</v>
      </c>
      <c r="O179" s="13">
        <f>214.657/100*$C179</f>
        <v>214.65700000000001</v>
      </c>
      <c r="P179" s="13">
        <v>46.31</v>
      </c>
    </row>
    <row r="180" spans="1:16" ht="20.100000000000001" customHeight="1">
      <c r="A180" s="8">
        <v>388</v>
      </c>
      <c r="B180" s="12" t="s">
        <v>108</v>
      </c>
      <c r="C180" s="8">
        <v>200</v>
      </c>
      <c r="D180" s="14">
        <v>0.68</v>
      </c>
      <c r="E180" s="13">
        <v>0.28000000000000003</v>
      </c>
      <c r="F180" s="13">
        <v>20.8</v>
      </c>
      <c r="G180" s="13">
        <v>0.01</v>
      </c>
      <c r="H180" s="13">
        <v>100</v>
      </c>
      <c r="I180" s="13">
        <v>0</v>
      </c>
      <c r="J180" s="13">
        <v>0</v>
      </c>
      <c r="K180" s="13">
        <v>21.34</v>
      </c>
      <c r="L180" s="13">
        <v>3.44</v>
      </c>
      <c r="M180" s="13">
        <v>3.44</v>
      </c>
      <c r="N180" s="13">
        <v>0.63</v>
      </c>
      <c r="O180" s="13">
        <v>88.2</v>
      </c>
      <c r="P180" s="13">
        <v>6</v>
      </c>
    </row>
    <row r="181" spans="1:16" ht="20.100000000000001" customHeight="1">
      <c r="A181" s="8" t="s">
        <v>20</v>
      </c>
      <c r="B181" s="12" t="s">
        <v>21</v>
      </c>
      <c r="C181" s="8">
        <v>50</v>
      </c>
      <c r="D181" s="14">
        <f>8/100*$C181</f>
        <v>4</v>
      </c>
      <c r="E181" s="13">
        <f>1.509/100*$C181</f>
        <v>0.75449999999999995</v>
      </c>
      <c r="F181" s="13">
        <f>40.127/100*$C181</f>
        <v>20.063500000000001</v>
      </c>
      <c r="G181" s="13">
        <f>0.072/100*$C181</f>
        <v>3.5999999999999997E-2</v>
      </c>
      <c r="H181" s="13">
        <f>0/100*$C181</f>
        <v>0</v>
      </c>
      <c r="I181" s="13">
        <f>0/100*$C181</f>
        <v>0</v>
      </c>
      <c r="J181" s="13">
        <f>2.36/100*$C181</f>
        <v>1.18</v>
      </c>
      <c r="K181" s="13">
        <f>33/100*$C181</f>
        <v>16.5</v>
      </c>
      <c r="L181" s="13">
        <f>234/100*$C181</f>
        <v>117</v>
      </c>
      <c r="M181" s="13">
        <f>66/100*$C181</f>
        <v>33</v>
      </c>
      <c r="N181" s="13">
        <f>4.4/100*$C181</f>
        <v>2.2000000000000002</v>
      </c>
      <c r="O181" s="13">
        <f>208/100*$C181</f>
        <v>104</v>
      </c>
      <c r="P181" s="13">
        <v>1.65</v>
      </c>
    </row>
    <row r="182" spans="1:16" ht="20.100000000000001" customHeight="1">
      <c r="A182" s="8" t="s">
        <v>20</v>
      </c>
      <c r="B182" s="12" t="s">
        <v>22</v>
      </c>
      <c r="C182" s="8">
        <v>50</v>
      </c>
      <c r="D182" s="14">
        <f>4.9/100*$C182</f>
        <v>2.4500000000000002</v>
      </c>
      <c r="E182" s="13">
        <f>1.1/100*$C182</f>
        <v>0.55000000000000004</v>
      </c>
      <c r="F182" s="13">
        <f>48.9/100*$C182</f>
        <v>24.45</v>
      </c>
      <c r="G182" s="13">
        <f>0.1/100*$C182</f>
        <v>0.05</v>
      </c>
      <c r="H182" s="13">
        <f>0/100*$C182</f>
        <v>0</v>
      </c>
      <c r="I182" s="13">
        <f>0/100*$C182</f>
        <v>0</v>
      </c>
      <c r="J182" s="13">
        <f>0.9/100*$C182</f>
        <v>0.45000000000000007</v>
      </c>
      <c r="K182" s="13">
        <f>23/100*$C182</f>
        <v>11.5</v>
      </c>
      <c r="L182" s="13">
        <f>106/100*$C182</f>
        <v>53</v>
      </c>
      <c r="M182" s="13">
        <f>25/100*$C182</f>
        <v>12.5</v>
      </c>
      <c r="N182" s="13">
        <f>3.1/100*$C182</f>
        <v>1.55</v>
      </c>
      <c r="O182" s="13">
        <f>200/100*$C182</f>
        <v>100</v>
      </c>
      <c r="P182" s="13">
        <v>2</v>
      </c>
    </row>
    <row r="183" spans="1:16" ht="20.100000000000001" customHeight="1">
      <c r="A183" s="8">
        <v>338</v>
      </c>
      <c r="B183" s="12" t="s">
        <v>118</v>
      </c>
      <c r="C183" s="8">
        <v>200</v>
      </c>
      <c r="D183" s="13">
        <f>0.622/100*$C183</f>
        <v>1.244</v>
      </c>
      <c r="E183" s="13">
        <f>0.622/100*$C183</f>
        <v>1.244</v>
      </c>
      <c r="F183" s="13">
        <f>15.256/100*$C183</f>
        <v>30.512</v>
      </c>
      <c r="G183" s="13">
        <f>0.0556/100*$C183</f>
        <v>0.11119999999999999</v>
      </c>
      <c r="H183" s="13">
        <f>15.5/100*$C183</f>
        <v>31</v>
      </c>
      <c r="I183" s="13">
        <f>0/100*$C183</f>
        <v>0</v>
      </c>
      <c r="J183" s="13">
        <f>0.31/100*$C183</f>
        <v>0.62</v>
      </c>
      <c r="K183" s="13">
        <f>24.878/100*$C183</f>
        <v>49.756</v>
      </c>
      <c r="L183" s="13">
        <f>17.167/100*$C183</f>
        <v>34.334000000000003</v>
      </c>
      <c r="M183" s="13">
        <f>14/100*$C183</f>
        <v>28.000000000000004</v>
      </c>
      <c r="N183" s="13">
        <f>3.422/100*$C183</f>
        <v>6.8440000000000003</v>
      </c>
      <c r="O183" s="13">
        <f>73.122/100*$C183</f>
        <v>146.244</v>
      </c>
      <c r="P183" s="13">
        <v>36</v>
      </c>
    </row>
    <row r="184" spans="1:16" ht="20.100000000000001" customHeight="1">
      <c r="A184" s="12"/>
      <c r="B184" s="12" t="s">
        <v>23</v>
      </c>
      <c r="C184" s="12"/>
      <c r="D184" s="13">
        <f t="shared" ref="D184:O184" si="24">SUM(D179:D183)</f>
        <v>19.364000000000001</v>
      </c>
      <c r="E184" s="13">
        <f t="shared" si="24"/>
        <v>14.0855</v>
      </c>
      <c r="F184" s="13">
        <f t="shared" si="24"/>
        <v>113.17550000000001</v>
      </c>
      <c r="G184" s="13">
        <f t="shared" si="24"/>
        <v>0.24289999999999998</v>
      </c>
      <c r="H184" s="13">
        <f t="shared" si="24"/>
        <v>131.85</v>
      </c>
      <c r="I184" s="13">
        <f t="shared" si="24"/>
        <v>0</v>
      </c>
      <c r="J184" s="13">
        <f t="shared" si="24"/>
        <v>2.25</v>
      </c>
      <c r="K184" s="13">
        <f t="shared" si="24"/>
        <v>108.5817</v>
      </c>
      <c r="L184" s="13">
        <f t="shared" si="24"/>
        <v>341.17400000000004</v>
      </c>
      <c r="M184" s="13">
        <f t="shared" si="24"/>
        <v>103.16</v>
      </c>
      <c r="N184" s="13">
        <f t="shared" si="24"/>
        <v>12.988</v>
      </c>
      <c r="O184" s="13">
        <f t="shared" si="24"/>
        <v>653.101</v>
      </c>
      <c r="P184" s="13">
        <v>91.96</v>
      </c>
    </row>
    <row r="185" spans="1:16" ht="20.100000000000001" customHeight="1">
      <c r="A185" s="29" t="s">
        <v>79</v>
      </c>
      <c r="B185" s="29"/>
      <c r="C185" s="18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</row>
    <row r="186" spans="1:16" ht="34.5" customHeight="1">
      <c r="A186" s="8">
        <v>71</v>
      </c>
      <c r="B186" s="12" t="s">
        <v>95</v>
      </c>
      <c r="C186" s="8">
        <v>25</v>
      </c>
      <c r="D186" s="14">
        <f>0.8/100*$C186</f>
        <v>0.2</v>
      </c>
      <c r="E186" s="14">
        <f>0.1/100*$C186</f>
        <v>2.5000000000000001E-2</v>
      </c>
      <c r="F186" s="14">
        <f>1.567/100*$C186</f>
        <v>0.39174999999999999</v>
      </c>
      <c r="G186" s="14">
        <f>0.0667/100*$C186</f>
        <v>1.6674999999999999E-2</v>
      </c>
      <c r="H186" s="14">
        <f>3.7667/100*$C186</f>
        <v>0.94167499999999993</v>
      </c>
      <c r="I186" s="14">
        <f>11.267/100*$C186</f>
        <v>2.8167499999999999</v>
      </c>
      <c r="J186" s="14">
        <f>0.067/100*$C186</f>
        <v>1.6750000000000001E-2</v>
      </c>
      <c r="K186" s="14">
        <f>17.267/100*$C186</f>
        <v>4.3167499999999999</v>
      </c>
      <c r="L186" s="14">
        <f>18/100*$C186</f>
        <v>4.5</v>
      </c>
      <c r="M186" s="14">
        <f>10.5/100*$C186</f>
        <v>2.625</v>
      </c>
      <c r="N186" s="14">
        <f>0.467/100*$C186</f>
        <v>0.11675000000000002</v>
      </c>
      <c r="O186" s="14">
        <f>19.5/100*$C186</f>
        <v>4.875</v>
      </c>
      <c r="P186" s="13">
        <v>5.44</v>
      </c>
    </row>
    <row r="187" spans="1:16" ht="31.5" customHeight="1">
      <c r="A187" s="8">
        <v>101</v>
      </c>
      <c r="B187" s="12" t="s">
        <v>109</v>
      </c>
      <c r="C187" s="8">
        <v>250</v>
      </c>
      <c r="D187" s="13">
        <v>5.89</v>
      </c>
      <c r="E187" s="13">
        <v>5.63</v>
      </c>
      <c r="F187" s="13">
        <v>12.24</v>
      </c>
      <c r="G187" s="13">
        <v>0.13</v>
      </c>
      <c r="H187" s="13">
        <v>10.4</v>
      </c>
      <c r="I187" s="13">
        <v>0.22</v>
      </c>
      <c r="J187" s="13">
        <v>0.01</v>
      </c>
      <c r="K187" s="13">
        <v>21.78</v>
      </c>
      <c r="L187" s="13">
        <v>110.23</v>
      </c>
      <c r="M187" s="13">
        <v>33.56</v>
      </c>
      <c r="N187" s="13">
        <v>1.34</v>
      </c>
      <c r="O187" s="13">
        <v>140.30000000000001</v>
      </c>
      <c r="P187" s="13">
        <v>7</v>
      </c>
    </row>
    <row r="188" spans="1:16" ht="20.100000000000001" customHeight="1">
      <c r="A188" s="8">
        <v>294</v>
      </c>
      <c r="B188" s="12" t="s">
        <v>63</v>
      </c>
      <c r="C188" s="8">
        <v>80</v>
      </c>
      <c r="D188" s="13">
        <f>16.3/100*$C188</f>
        <v>13.040000000000001</v>
      </c>
      <c r="E188" s="13">
        <f>8.35/100*$C188</f>
        <v>6.68</v>
      </c>
      <c r="F188" s="13">
        <f>7.883/100*$C188</f>
        <v>6.3064</v>
      </c>
      <c r="G188" s="13">
        <f>0.05/100*$C188</f>
        <v>0.04</v>
      </c>
      <c r="H188" s="13">
        <f>0/100*$C188</f>
        <v>0</v>
      </c>
      <c r="I188" s="13">
        <f>0.45/100*$C188</f>
        <v>0.36000000000000004</v>
      </c>
      <c r="J188" s="13">
        <f>0.033/100*$C188</f>
        <v>2.64E-2</v>
      </c>
      <c r="K188" s="13">
        <f>27.4/100*$C188</f>
        <v>21.919999999999998</v>
      </c>
      <c r="L188" s="13">
        <f>72.45/100*$C188</f>
        <v>57.96</v>
      </c>
      <c r="M188" s="13">
        <f>16.3/100*$C188</f>
        <v>13.040000000000001</v>
      </c>
      <c r="N188" s="13">
        <f>1.467/100*$C188</f>
        <v>1.1736</v>
      </c>
      <c r="O188" s="13">
        <f>177.5/100*$C188</f>
        <v>142</v>
      </c>
      <c r="P188" s="13">
        <v>21</v>
      </c>
    </row>
    <row r="189" spans="1:16" ht="37.5" customHeight="1">
      <c r="A189" s="8" t="s">
        <v>64</v>
      </c>
      <c r="B189" s="12" t="s">
        <v>65</v>
      </c>
      <c r="C189" s="8">
        <v>150</v>
      </c>
      <c r="D189" s="13">
        <f>2.16/100*$C189</f>
        <v>3.24</v>
      </c>
      <c r="E189" s="13">
        <f>5.053/100*$C189</f>
        <v>7.5794999999999995</v>
      </c>
      <c r="F189" s="13">
        <f>12.58/100*$C189</f>
        <v>18.87</v>
      </c>
      <c r="G189" s="13">
        <f>0.0267/100*$C189</f>
        <v>4.0050000000000009E-2</v>
      </c>
      <c r="H189" s="13">
        <f>1.62/100*$C189</f>
        <v>2.4300000000000006</v>
      </c>
      <c r="I189" s="13">
        <f>0.313/100*$C189</f>
        <v>0.46949999999999997</v>
      </c>
      <c r="J189" s="13">
        <f>0/100*$C189</f>
        <v>0</v>
      </c>
      <c r="K189" s="13">
        <f>7.567/100*$C189</f>
        <v>11.3505</v>
      </c>
      <c r="L189" s="13">
        <f>26.01/100*$C189</f>
        <v>39.015000000000001</v>
      </c>
      <c r="M189" s="13">
        <f>12.66/100*$C189</f>
        <v>18.989999999999998</v>
      </c>
      <c r="N189" s="13">
        <f>0.46/100*$C189</f>
        <v>0.69</v>
      </c>
      <c r="O189" s="13">
        <f>100/100*$C189</f>
        <v>150</v>
      </c>
      <c r="P189" s="13">
        <v>4.2</v>
      </c>
    </row>
    <row r="190" spans="1:16" ht="20.100000000000001" customHeight="1">
      <c r="A190" s="8" t="s">
        <v>20</v>
      </c>
      <c r="B190" s="12" t="s">
        <v>26</v>
      </c>
      <c r="C190" s="8">
        <v>200</v>
      </c>
      <c r="D190" s="13">
        <v>1</v>
      </c>
      <c r="E190" s="13">
        <v>0.2</v>
      </c>
      <c r="F190" s="13">
        <v>20</v>
      </c>
      <c r="G190" s="13">
        <v>0.02</v>
      </c>
      <c r="H190" s="13">
        <v>4</v>
      </c>
      <c r="I190" s="13">
        <v>0</v>
      </c>
      <c r="J190" s="13">
        <v>0.2</v>
      </c>
      <c r="K190" s="13">
        <v>14</v>
      </c>
      <c r="L190" s="13">
        <v>14</v>
      </c>
      <c r="M190" s="13">
        <v>8</v>
      </c>
      <c r="N190" s="13">
        <v>2.8</v>
      </c>
      <c r="O190" s="13">
        <v>65.8</v>
      </c>
      <c r="P190" s="13">
        <v>16.489999999999998</v>
      </c>
    </row>
    <row r="191" spans="1:16" ht="20.100000000000001" customHeight="1">
      <c r="A191" s="8" t="s">
        <v>20</v>
      </c>
      <c r="B191" s="12" t="s">
        <v>21</v>
      </c>
      <c r="C191" s="8">
        <v>50</v>
      </c>
      <c r="D191" s="13">
        <f>8/100*$C191</f>
        <v>4</v>
      </c>
      <c r="E191" s="13">
        <f>1.509/100*$C191</f>
        <v>0.75449999999999995</v>
      </c>
      <c r="F191" s="13">
        <f>40.127/100*$C191</f>
        <v>20.063500000000001</v>
      </c>
      <c r="G191" s="13">
        <f>0.072/100*$C191</f>
        <v>3.5999999999999997E-2</v>
      </c>
      <c r="H191" s="13">
        <f>0/100*$C191</f>
        <v>0</v>
      </c>
      <c r="I191" s="13">
        <f>0/100*$C191</f>
        <v>0</v>
      </c>
      <c r="J191" s="13">
        <f>2.36/100*$C191</f>
        <v>1.18</v>
      </c>
      <c r="K191" s="13">
        <f>33/100*$C191</f>
        <v>16.5</v>
      </c>
      <c r="L191" s="13">
        <f>234/100*$C191</f>
        <v>117</v>
      </c>
      <c r="M191" s="13">
        <f>66/100*$C191</f>
        <v>33</v>
      </c>
      <c r="N191" s="13">
        <f>4.4/100*$C191</f>
        <v>2.2000000000000002</v>
      </c>
      <c r="O191" s="13">
        <f>208/100*$C191</f>
        <v>104</v>
      </c>
      <c r="P191" s="13">
        <v>1.65</v>
      </c>
    </row>
    <row r="192" spans="1:16" ht="20.100000000000001" customHeight="1">
      <c r="A192" s="8" t="s">
        <v>20</v>
      </c>
      <c r="B192" s="12" t="s">
        <v>22</v>
      </c>
      <c r="C192" s="8">
        <v>70</v>
      </c>
      <c r="D192" s="13">
        <f>4.9/100*$C192</f>
        <v>3.43</v>
      </c>
      <c r="E192" s="13">
        <f>1.1/100*$C192</f>
        <v>0.77000000000000013</v>
      </c>
      <c r="F192" s="13">
        <f>48.9/100*$C192</f>
        <v>34.229999999999997</v>
      </c>
      <c r="G192" s="13">
        <f>0.1/100*$C192</f>
        <v>7.0000000000000007E-2</v>
      </c>
      <c r="H192" s="13">
        <f>0/100*$C192</f>
        <v>0</v>
      </c>
      <c r="I192" s="13">
        <f>0/100*$C192</f>
        <v>0</v>
      </c>
      <c r="J192" s="13">
        <f>0.9/100*$C192</f>
        <v>0.63000000000000012</v>
      </c>
      <c r="K192" s="13">
        <f>23/100*$C192</f>
        <v>16.100000000000001</v>
      </c>
      <c r="L192" s="13">
        <f>106/100*$C192</f>
        <v>74.2</v>
      </c>
      <c r="M192" s="13">
        <f>25/100*$C192</f>
        <v>17.5</v>
      </c>
      <c r="N192" s="13">
        <f>3.1/100*$C192</f>
        <v>2.17</v>
      </c>
      <c r="O192" s="13">
        <f>200/100*$C192</f>
        <v>140</v>
      </c>
      <c r="P192" s="13">
        <v>2.8</v>
      </c>
    </row>
    <row r="193" spans="1:18" ht="20.100000000000001" customHeight="1">
      <c r="A193" s="12"/>
      <c r="B193" s="12" t="s">
        <v>27</v>
      </c>
      <c r="C193" s="12"/>
      <c r="D193" s="13">
        <f t="shared" ref="D193:O193" si="25">SUM(D186:D192)</f>
        <v>30.800000000000004</v>
      </c>
      <c r="E193" s="13">
        <f t="shared" si="25"/>
        <v>21.638999999999999</v>
      </c>
      <c r="F193" s="13">
        <f t="shared" si="25"/>
        <v>112.10165000000001</v>
      </c>
      <c r="G193" s="13">
        <f t="shared" si="25"/>
        <v>0.35272500000000001</v>
      </c>
      <c r="H193" s="13">
        <f t="shared" si="25"/>
        <v>17.771675000000002</v>
      </c>
      <c r="I193" s="13">
        <f t="shared" si="25"/>
        <v>3.86625</v>
      </c>
      <c r="J193" s="13">
        <f t="shared" si="25"/>
        <v>2.0631500000000003</v>
      </c>
      <c r="K193" s="13">
        <f t="shared" si="25"/>
        <v>105.96725000000001</v>
      </c>
      <c r="L193" s="13">
        <f t="shared" si="25"/>
        <v>416.90499999999997</v>
      </c>
      <c r="M193" s="13">
        <f t="shared" si="25"/>
        <v>126.715</v>
      </c>
      <c r="N193" s="13">
        <f t="shared" si="25"/>
        <v>10.490350000000001</v>
      </c>
      <c r="O193" s="13">
        <f t="shared" si="25"/>
        <v>746.97500000000002</v>
      </c>
      <c r="P193" s="13">
        <v>58.58</v>
      </c>
    </row>
    <row r="194" spans="1:18" ht="20.100000000000001" customHeight="1">
      <c r="A194" s="12"/>
      <c r="B194" s="12" t="s">
        <v>28</v>
      </c>
      <c r="C194" s="12"/>
      <c r="D194" s="13">
        <f t="shared" ref="D194:O194" si="26">SUM(D184,D193)</f>
        <v>50.164000000000001</v>
      </c>
      <c r="E194" s="13">
        <f t="shared" si="26"/>
        <v>35.724499999999999</v>
      </c>
      <c r="F194" s="13">
        <f t="shared" si="26"/>
        <v>225.27715000000001</v>
      </c>
      <c r="G194" s="13">
        <f t="shared" si="26"/>
        <v>0.59562499999999996</v>
      </c>
      <c r="H194" s="13">
        <f t="shared" si="26"/>
        <v>149.62167499999998</v>
      </c>
      <c r="I194" s="13">
        <f t="shared" si="26"/>
        <v>3.86625</v>
      </c>
      <c r="J194" s="13">
        <f t="shared" si="26"/>
        <v>4.3131500000000003</v>
      </c>
      <c r="K194" s="13">
        <f t="shared" si="26"/>
        <v>214.54894999999999</v>
      </c>
      <c r="L194" s="13">
        <f t="shared" si="26"/>
        <v>758.07899999999995</v>
      </c>
      <c r="M194" s="13">
        <f t="shared" si="26"/>
        <v>229.875</v>
      </c>
      <c r="N194" s="13">
        <f t="shared" si="26"/>
        <v>23.478349999999999</v>
      </c>
      <c r="O194" s="13">
        <f t="shared" si="26"/>
        <v>1400.076</v>
      </c>
      <c r="P194" s="13">
        <v>150.54</v>
      </c>
    </row>
    <row r="195" spans="1:18" ht="20.100000000000001" customHeight="1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</row>
    <row r="196" spans="1:18" ht="20.100000000000001" customHeight="1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</row>
    <row r="197" spans="1:18" ht="20.100000000000001" customHeight="1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</row>
    <row r="198" spans="1:18" ht="20.100000000000001" customHeight="1">
      <c r="A198" s="24"/>
      <c r="B198" s="26" t="s">
        <v>29</v>
      </c>
      <c r="C198" s="26"/>
      <c r="D198" s="26"/>
      <c r="E198" s="24"/>
      <c r="F198" s="24"/>
      <c r="G198" s="24"/>
      <c r="H198" s="24"/>
      <c r="I198" s="24"/>
      <c r="J198" s="15" t="s">
        <v>30</v>
      </c>
      <c r="K198" s="15"/>
      <c r="L198" s="15"/>
      <c r="M198" s="15"/>
      <c r="N198" s="24"/>
      <c r="O198" s="24"/>
      <c r="P198" s="24"/>
    </row>
    <row r="199" spans="1:18" ht="20.100000000000001" customHeight="1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</row>
    <row r="200" spans="1:18" ht="20.100000000000001" customHeight="1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</row>
    <row r="201" spans="1:18" ht="20.100000000000001" customHeight="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</row>
    <row r="202" spans="1:18" ht="20.100000000000001" customHeight="1">
      <c r="A202" s="27" t="s">
        <v>78</v>
      </c>
      <c r="B202" s="28"/>
      <c r="C202" s="18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</row>
    <row r="203" spans="1:18" s="1" customFormat="1" ht="20.25" customHeight="1">
      <c r="A203" s="8">
        <v>392</v>
      </c>
      <c r="B203" s="12" t="s">
        <v>60</v>
      </c>
      <c r="C203" s="8" t="s">
        <v>119</v>
      </c>
      <c r="D203" s="13">
        <v>15.84</v>
      </c>
      <c r="E203" s="13">
        <v>10.25</v>
      </c>
      <c r="F203" s="13">
        <v>27.04</v>
      </c>
      <c r="G203" s="13">
        <v>0.13</v>
      </c>
      <c r="H203" s="13">
        <v>0.28999999999999998</v>
      </c>
      <c r="I203" s="13">
        <v>36.299999999999997</v>
      </c>
      <c r="J203" s="13">
        <v>0</v>
      </c>
      <c r="K203" s="13">
        <v>17.39</v>
      </c>
      <c r="L203" s="13">
        <v>96.53</v>
      </c>
      <c r="M203" s="13">
        <v>27.89</v>
      </c>
      <c r="N203" s="13">
        <v>0.73</v>
      </c>
      <c r="O203" s="13">
        <v>264</v>
      </c>
      <c r="P203" s="23">
        <v>25.46</v>
      </c>
      <c r="Q203" s="3"/>
      <c r="R203" s="2"/>
    </row>
    <row r="204" spans="1:18" s="1" customFormat="1" ht="22.5" customHeight="1">
      <c r="A204" s="8">
        <v>377</v>
      </c>
      <c r="B204" s="12" t="s">
        <v>61</v>
      </c>
      <c r="C204" s="8" t="s">
        <v>62</v>
      </c>
      <c r="D204" s="13">
        <v>0.13</v>
      </c>
      <c r="E204" s="13">
        <v>0.02</v>
      </c>
      <c r="F204" s="13">
        <v>15.2</v>
      </c>
      <c r="G204" s="13">
        <v>0</v>
      </c>
      <c r="H204" s="13">
        <v>2.83</v>
      </c>
      <c r="I204" s="13">
        <v>0</v>
      </c>
      <c r="J204" s="13">
        <v>0</v>
      </c>
      <c r="K204" s="13">
        <v>14.2</v>
      </c>
      <c r="L204" s="13">
        <v>4.4000000000000004</v>
      </c>
      <c r="M204" s="13">
        <v>2.4</v>
      </c>
      <c r="N204" s="13">
        <v>0.36</v>
      </c>
      <c r="O204" s="13">
        <v>62</v>
      </c>
      <c r="P204" s="23">
        <v>3.12</v>
      </c>
      <c r="Q204" s="3"/>
      <c r="R204" s="2"/>
    </row>
    <row r="205" spans="1:18" ht="20.100000000000001" customHeight="1">
      <c r="A205" s="8" t="s">
        <v>20</v>
      </c>
      <c r="B205" s="12" t="s">
        <v>21</v>
      </c>
      <c r="C205" s="8">
        <v>50</v>
      </c>
      <c r="D205" s="13">
        <f>8/100*$C205</f>
        <v>4</v>
      </c>
      <c r="E205" s="13">
        <f>1.509/100*$C205</f>
        <v>0.75449999999999995</v>
      </c>
      <c r="F205" s="13">
        <f>40.127/100*$C205</f>
        <v>20.063500000000001</v>
      </c>
      <c r="G205" s="13">
        <f>0.072/100*$C205</f>
        <v>3.5999999999999997E-2</v>
      </c>
      <c r="H205" s="13">
        <f>0/100*$C205</f>
        <v>0</v>
      </c>
      <c r="I205" s="13">
        <f>0/100*$C205</f>
        <v>0</v>
      </c>
      <c r="J205" s="13">
        <f>2.36/100*$C205</f>
        <v>1.18</v>
      </c>
      <c r="K205" s="13">
        <f>33/100*$C205</f>
        <v>16.5</v>
      </c>
      <c r="L205" s="13">
        <f>234/100*$C205</f>
        <v>117</v>
      </c>
      <c r="M205" s="13">
        <f>66/100*$C205</f>
        <v>33</v>
      </c>
      <c r="N205" s="13">
        <f>4.4/100*$C205</f>
        <v>2.2000000000000002</v>
      </c>
      <c r="O205" s="13">
        <f>208/100*$C205</f>
        <v>104</v>
      </c>
      <c r="P205" s="13">
        <v>1.65</v>
      </c>
    </row>
    <row r="206" spans="1:18" ht="20.100000000000001" customHeight="1">
      <c r="A206" s="8" t="s">
        <v>20</v>
      </c>
      <c r="B206" s="12" t="s">
        <v>22</v>
      </c>
      <c r="C206" s="8">
        <v>50</v>
      </c>
      <c r="D206" s="13">
        <f>4.9/100*$C206</f>
        <v>2.4500000000000002</v>
      </c>
      <c r="E206" s="13">
        <f>1.1/100*$C206</f>
        <v>0.55000000000000004</v>
      </c>
      <c r="F206" s="13">
        <f>48.9/100*$C206</f>
        <v>24.45</v>
      </c>
      <c r="G206" s="13">
        <f>0.1/100*$C206</f>
        <v>0.05</v>
      </c>
      <c r="H206" s="13">
        <f>0/100*$C206</f>
        <v>0</v>
      </c>
      <c r="I206" s="13">
        <f>0/100*$C206</f>
        <v>0</v>
      </c>
      <c r="J206" s="13">
        <f>0.9/100*$C206</f>
        <v>0.45000000000000007</v>
      </c>
      <c r="K206" s="13">
        <f>23/100*$C206</f>
        <v>11.5</v>
      </c>
      <c r="L206" s="13">
        <f>106/100*$C206</f>
        <v>53</v>
      </c>
      <c r="M206" s="13">
        <f>25/100*$C206</f>
        <v>12.5</v>
      </c>
      <c r="N206" s="13">
        <f>3.1/100*$C206</f>
        <v>1.55</v>
      </c>
      <c r="O206" s="13">
        <f>200/100*$C206</f>
        <v>100</v>
      </c>
      <c r="P206" s="13">
        <v>2</v>
      </c>
    </row>
    <row r="207" spans="1:18" ht="20.100000000000001" customHeight="1">
      <c r="A207" s="8">
        <v>338</v>
      </c>
      <c r="B207" s="12" t="s">
        <v>120</v>
      </c>
      <c r="C207" s="8">
        <v>200</v>
      </c>
      <c r="D207" s="13">
        <f>0.622/100*$C207</f>
        <v>1.244</v>
      </c>
      <c r="E207" s="13">
        <f>0.622/100*$C207</f>
        <v>1.244</v>
      </c>
      <c r="F207" s="13">
        <f>15.256/100*$C207</f>
        <v>30.512</v>
      </c>
      <c r="G207" s="13">
        <f>0.0556/100*$C207</f>
        <v>0.11119999999999999</v>
      </c>
      <c r="H207" s="13">
        <f>15.5/100*$C207</f>
        <v>31</v>
      </c>
      <c r="I207" s="13">
        <f>0/100*$C207</f>
        <v>0</v>
      </c>
      <c r="J207" s="13">
        <f>0.31/100*$C207</f>
        <v>0.62</v>
      </c>
      <c r="K207" s="13">
        <f>24.878/100*$C207</f>
        <v>49.756</v>
      </c>
      <c r="L207" s="13">
        <f>17.167/100*$C207</f>
        <v>34.334000000000003</v>
      </c>
      <c r="M207" s="13">
        <f>14/100*$C207</f>
        <v>28.000000000000004</v>
      </c>
      <c r="N207" s="13">
        <f>3.422/100*$C207</f>
        <v>6.8440000000000003</v>
      </c>
      <c r="O207" s="13">
        <f>73.122/100*$C207</f>
        <v>146.244</v>
      </c>
      <c r="P207" s="13">
        <v>40</v>
      </c>
    </row>
    <row r="208" spans="1:18" ht="20.100000000000001" customHeight="1">
      <c r="A208" s="12"/>
      <c r="B208" s="12" t="s">
        <v>23</v>
      </c>
      <c r="C208" s="12"/>
      <c r="D208" s="13">
        <f t="shared" ref="D208:O208" si="27">SUM(D203:D206)</f>
        <v>22.419999999999998</v>
      </c>
      <c r="E208" s="13">
        <f t="shared" si="27"/>
        <v>11.5745</v>
      </c>
      <c r="F208" s="13">
        <f t="shared" si="27"/>
        <v>86.753500000000003</v>
      </c>
      <c r="G208" s="13">
        <f t="shared" si="27"/>
        <v>0.21600000000000003</v>
      </c>
      <c r="H208" s="13">
        <f t="shared" si="27"/>
        <v>3.12</v>
      </c>
      <c r="I208" s="13">
        <f t="shared" si="27"/>
        <v>36.299999999999997</v>
      </c>
      <c r="J208" s="13">
        <f t="shared" si="27"/>
        <v>1.63</v>
      </c>
      <c r="K208" s="13">
        <f t="shared" si="27"/>
        <v>59.59</v>
      </c>
      <c r="L208" s="13">
        <f t="shared" si="27"/>
        <v>270.93</v>
      </c>
      <c r="M208" s="13">
        <f t="shared" si="27"/>
        <v>75.789999999999992</v>
      </c>
      <c r="N208" s="13">
        <f t="shared" si="27"/>
        <v>4.84</v>
      </c>
      <c r="O208" s="13">
        <f t="shared" si="27"/>
        <v>530</v>
      </c>
      <c r="P208" s="13">
        <v>72.23</v>
      </c>
    </row>
    <row r="209" spans="1:18" ht="20.100000000000001" customHeight="1">
      <c r="A209" s="29" t="s">
        <v>77</v>
      </c>
      <c r="B209" s="29"/>
      <c r="C209" s="18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</row>
    <row r="210" spans="1:18" ht="26.25" customHeight="1">
      <c r="A210" s="8">
        <v>71</v>
      </c>
      <c r="B210" s="12" t="s">
        <v>99</v>
      </c>
      <c r="C210" s="8">
        <v>70</v>
      </c>
      <c r="D210" s="14">
        <f>0.8/100*$C210</f>
        <v>0.56000000000000005</v>
      </c>
      <c r="E210" s="14">
        <f>0.1/100*$C210</f>
        <v>7.0000000000000007E-2</v>
      </c>
      <c r="F210" s="14">
        <f>1.567/100*$C210</f>
        <v>1.0969</v>
      </c>
      <c r="G210" s="14">
        <f>0.0667/100*$C210</f>
        <v>4.6689999999999995E-2</v>
      </c>
      <c r="H210" s="14">
        <f>3.7667/100*$C210</f>
        <v>2.6366899999999998</v>
      </c>
      <c r="I210" s="14">
        <f>11.267/100*$C210</f>
        <v>7.8868999999999998</v>
      </c>
      <c r="J210" s="14">
        <f>0.067/100*$C210</f>
        <v>4.6900000000000004E-2</v>
      </c>
      <c r="K210" s="14">
        <f>17.267/100*$C210</f>
        <v>12.0869</v>
      </c>
      <c r="L210" s="14">
        <f>18/100*$C210</f>
        <v>12.6</v>
      </c>
      <c r="M210" s="14">
        <f>10.5/100*$C210</f>
        <v>7.35</v>
      </c>
      <c r="N210" s="14">
        <f>0.467/100*$C210</f>
        <v>0.32690000000000002</v>
      </c>
      <c r="O210" s="14">
        <f>19.5/100*$C210</f>
        <v>13.65</v>
      </c>
      <c r="P210" s="13">
        <v>16.77</v>
      </c>
    </row>
    <row r="211" spans="1:18" ht="31.5" customHeight="1">
      <c r="A211" s="8">
        <v>96</v>
      </c>
      <c r="B211" s="12" t="s">
        <v>67</v>
      </c>
      <c r="C211" s="8" t="s">
        <v>53</v>
      </c>
      <c r="D211" s="13">
        <v>1.75</v>
      </c>
      <c r="E211" s="13">
        <v>4.57</v>
      </c>
      <c r="F211" s="13">
        <v>9.7799999999999994</v>
      </c>
      <c r="G211" s="13">
        <v>0.11</v>
      </c>
      <c r="H211" s="13">
        <v>9</v>
      </c>
      <c r="I211" s="13">
        <v>0</v>
      </c>
      <c r="J211" s="13">
        <v>0.26</v>
      </c>
      <c r="K211" s="13">
        <v>28.8</v>
      </c>
      <c r="L211" s="13">
        <v>85.75</v>
      </c>
      <c r="M211" s="13">
        <v>31.63</v>
      </c>
      <c r="N211" s="13">
        <v>1.03</v>
      </c>
      <c r="O211" s="13">
        <v>96</v>
      </c>
      <c r="P211" s="13">
        <v>10.73</v>
      </c>
    </row>
    <row r="212" spans="1:18" ht="20.100000000000001" customHeight="1">
      <c r="A212" s="8">
        <v>231</v>
      </c>
      <c r="B212" s="12" t="s">
        <v>68</v>
      </c>
      <c r="C212" s="8">
        <v>100</v>
      </c>
      <c r="D212" s="13">
        <f>11.77/100*$C212</f>
        <v>11.77</v>
      </c>
      <c r="E212" s="13">
        <f>5.308/100*$C212</f>
        <v>5.3079999999999998</v>
      </c>
      <c r="F212" s="13">
        <f>0.985/100*$C212</f>
        <v>0.98499999999999999</v>
      </c>
      <c r="G212" s="13">
        <f>0.077/100*$C212</f>
        <v>7.6999999999999999E-2</v>
      </c>
      <c r="H212" s="13">
        <f>0.892/100*$C212</f>
        <v>0.89200000000000013</v>
      </c>
      <c r="I212" s="13">
        <f>0.015/100*$C212</f>
        <v>1.4999999999999999E-2</v>
      </c>
      <c r="J212" s="13">
        <f>2.092/100*$C212</f>
        <v>2.0920000000000001</v>
      </c>
      <c r="K212" s="13">
        <f>42.615/100*$C212</f>
        <v>42.615000000000002</v>
      </c>
      <c r="L212" s="13">
        <f>158.3/100*$C212</f>
        <v>158.30000000000001</v>
      </c>
      <c r="M212" s="13">
        <f>36.3/100*$C212</f>
        <v>36.299999999999997</v>
      </c>
      <c r="N212" s="13">
        <f>0.815/100*$C212</f>
        <v>0.81499999999999995</v>
      </c>
      <c r="O212" s="13">
        <f>105.077/100*$C212</f>
        <v>105.077</v>
      </c>
      <c r="P212" s="13">
        <v>31.93</v>
      </c>
    </row>
    <row r="213" spans="1:18" ht="20.100000000000001" customHeight="1">
      <c r="A213" s="8" t="s">
        <v>69</v>
      </c>
      <c r="B213" s="12" t="s">
        <v>70</v>
      </c>
      <c r="C213" s="8">
        <v>100</v>
      </c>
      <c r="D213" s="13">
        <f>1.7267/100*$C213</f>
        <v>1.7266999999999997</v>
      </c>
      <c r="E213" s="13">
        <f>5.113/100*$C213</f>
        <v>5.1130000000000004</v>
      </c>
      <c r="F213" s="13">
        <f>12.03/100*$C213</f>
        <v>12.03</v>
      </c>
      <c r="G213" s="13">
        <f>0.013/100*$C213</f>
        <v>1.2999999999999999E-2</v>
      </c>
      <c r="H213" s="13">
        <f>1.5467/100*$C213</f>
        <v>1.5467</v>
      </c>
      <c r="I213" s="13">
        <f>0.173/100*$C213</f>
        <v>0.17299999999999999</v>
      </c>
      <c r="J213" s="13">
        <f>0/100*$C213</f>
        <v>0</v>
      </c>
      <c r="K213" s="13">
        <f>2.56/100*$C213</f>
        <v>2.56</v>
      </c>
      <c r="L213" s="13">
        <f>34.65/100*$C213</f>
        <v>34.65</v>
      </c>
      <c r="M213" s="13">
        <f>13.847/100*$C213</f>
        <v>13.846999999999998</v>
      </c>
      <c r="N213" s="13">
        <f>0.38/100*$C213</f>
        <v>0.38</v>
      </c>
      <c r="O213" s="13">
        <f>110.667/100*$C213</f>
        <v>110.667</v>
      </c>
      <c r="P213" s="13">
        <v>9.24</v>
      </c>
    </row>
    <row r="214" spans="1:18" s="1" customFormat="1" ht="15.75">
      <c r="A214" s="8">
        <v>348</v>
      </c>
      <c r="B214" s="12" t="s">
        <v>110</v>
      </c>
      <c r="C214" s="8">
        <v>200</v>
      </c>
      <c r="D214" s="13">
        <v>0.8</v>
      </c>
      <c r="E214" s="13">
        <v>0.05</v>
      </c>
      <c r="F214" s="13">
        <v>27.2</v>
      </c>
      <c r="G214" s="13">
        <v>0.03</v>
      </c>
      <c r="H214" s="13">
        <v>1</v>
      </c>
      <c r="I214" s="13">
        <v>0</v>
      </c>
      <c r="J214" s="13">
        <v>1</v>
      </c>
      <c r="K214" s="13">
        <v>40.479999999999997</v>
      </c>
      <c r="L214" s="13">
        <v>36.6</v>
      </c>
      <c r="M214" s="13">
        <v>26.2</v>
      </c>
      <c r="N214" s="13">
        <v>0.86</v>
      </c>
      <c r="O214" s="13">
        <v>114.8</v>
      </c>
      <c r="P214" s="23">
        <v>5.19</v>
      </c>
      <c r="Q214" s="3"/>
      <c r="R214" s="2"/>
    </row>
    <row r="215" spans="1:18" ht="20.100000000000001" customHeight="1">
      <c r="A215" s="8" t="s">
        <v>20</v>
      </c>
      <c r="B215" s="12" t="s">
        <v>21</v>
      </c>
      <c r="C215" s="8">
        <v>50</v>
      </c>
      <c r="D215" s="13">
        <f>8/100*$C215</f>
        <v>4</v>
      </c>
      <c r="E215" s="13">
        <f>1.509/100*$C215</f>
        <v>0.75449999999999995</v>
      </c>
      <c r="F215" s="13">
        <f>40.127/100*$C215</f>
        <v>20.063500000000001</v>
      </c>
      <c r="G215" s="13">
        <f>0.072/100*$C215</f>
        <v>3.5999999999999997E-2</v>
      </c>
      <c r="H215" s="13">
        <f>0/100*$C215</f>
        <v>0</v>
      </c>
      <c r="I215" s="13">
        <f>0/100*$C215</f>
        <v>0</v>
      </c>
      <c r="J215" s="13">
        <f>2.36/100*$C215</f>
        <v>1.18</v>
      </c>
      <c r="K215" s="13">
        <f>33/100*$C215</f>
        <v>16.5</v>
      </c>
      <c r="L215" s="13">
        <f>234/100*$C215</f>
        <v>117</v>
      </c>
      <c r="M215" s="13">
        <f>66/100*$C215</f>
        <v>33</v>
      </c>
      <c r="N215" s="13">
        <f>4.4/100*$C215</f>
        <v>2.2000000000000002</v>
      </c>
      <c r="O215" s="13">
        <f>208/100*$C215</f>
        <v>104</v>
      </c>
      <c r="P215" s="13">
        <v>1.65</v>
      </c>
    </row>
    <row r="216" spans="1:18" ht="20.100000000000001" customHeight="1">
      <c r="A216" s="8" t="s">
        <v>20</v>
      </c>
      <c r="B216" s="12" t="s">
        <v>22</v>
      </c>
      <c r="C216" s="8">
        <v>70</v>
      </c>
      <c r="D216" s="13">
        <f>4.9/100*$C216</f>
        <v>3.43</v>
      </c>
      <c r="E216" s="13">
        <f>1.1/100*$C216</f>
        <v>0.77000000000000013</v>
      </c>
      <c r="F216" s="13">
        <f>48.9/100*$C216</f>
        <v>34.229999999999997</v>
      </c>
      <c r="G216" s="13">
        <f>0.1/100*$C216</f>
        <v>7.0000000000000007E-2</v>
      </c>
      <c r="H216" s="13">
        <f>0/100*$C216</f>
        <v>0</v>
      </c>
      <c r="I216" s="13">
        <f>0/100*$C216</f>
        <v>0</v>
      </c>
      <c r="J216" s="13">
        <f>0.9/100*$C216</f>
        <v>0.63000000000000012</v>
      </c>
      <c r="K216" s="13">
        <f>23/100*$C216</f>
        <v>16.100000000000001</v>
      </c>
      <c r="L216" s="13">
        <f>106/100*$C216</f>
        <v>74.2</v>
      </c>
      <c r="M216" s="13">
        <f>25/100*$C216</f>
        <v>17.5</v>
      </c>
      <c r="N216" s="13">
        <f>3.1/100*$C216</f>
        <v>2.17</v>
      </c>
      <c r="O216" s="13">
        <f>200/100*$C216</f>
        <v>140</v>
      </c>
      <c r="P216" s="13">
        <v>2.8</v>
      </c>
    </row>
    <row r="217" spans="1:18" ht="20.100000000000001" customHeight="1">
      <c r="A217" s="12"/>
      <c r="B217" s="12" t="s">
        <v>27</v>
      </c>
      <c r="C217" s="12"/>
      <c r="D217" s="13">
        <f t="shared" ref="D217:O217" si="28">SUM(D210:D216)</f>
        <v>24.0367</v>
      </c>
      <c r="E217" s="13">
        <f t="shared" si="28"/>
        <v>16.6355</v>
      </c>
      <c r="F217" s="13">
        <f t="shared" si="28"/>
        <v>105.3854</v>
      </c>
      <c r="G217" s="13">
        <f t="shared" si="28"/>
        <v>0.38268999999999997</v>
      </c>
      <c r="H217" s="13">
        <f t="shared" si="28"/>
        <v>15.075389999999999</v>
      </c>
      <c r="I217" s="13">
        <f t="shared" si="28"/>
        <v>8.0748999999999995</v>
      </c>
      <c r="J217" s="13">
        <f t="shared" si="28"/>
        <v>5.2088999999999999</v>
      </c>
      <c r="K217" s="13">
        <f t="shared" si="28"/>
        <v>159.14189999999999</v>
      </c>
      <c r="L217" s="13">
        <f t="shared" si="28"/>
        <v>519.1</v>
      </c>
      <c r="M217" s="13">
        <f t="shared" si="28"/>
        <v>165.827</v>
      </c>
      <c r="N217" s="13">
        <f t="shared" si="28"/>
        <v>7.7819000000000003</v>
      </c>
      <c r="O217" s="13">
        <f t="shared" si="28"/>
        <v>684.19399999999996</v>
      </c>
      <c r="P217" s="13">
        <v>78.31</v>
      </c>
    </row>
    <row r="218" spans="1:18" ht="20.100000000000001" customHeight="1">
      <c r="A218" s="12"/>
      <c r="B218" s="12" t="s">
        <v>28</v>
      </c>
      <c r="C218" s="12"/>
      <c r="D218" s="13">
        <f t="shared" ref="D218:O218" si="29">SUM(D208,D217)</f>
        <v>46.456699999999998</v>
      </c>
      <c r="E218" s="13">
        <f t="shared" si="29"/>
        <v>28.21</v>
      </c>
      <c r="F218" s="13">
        <f t="shared" si="29"/>
        <v>192.13890000000001</v>
      </c>
      <c r="G218" s="13">
        <f t="shared" si="29"/>
        <v>0.59868999999999994</v>
      </c>
      <c r="H218" s="13">
        <f t="shared" si="29"/>
        <v>18.19539</v>
      </c>
      <c r="I218" s="13">
        <f t="shared" si="29"/>
        <v>44.374899999999997</v>
      </c>
      <c r="J218" s="13">
        <f t="shared" si="29"/>
        <v>6.8388999999999998</v>
      </c>
      <c r="K218" s="13">
        <f t="shared" si="29"/>
        <v>218.7319</v>
      </c>
      <c r="L218" s="13">
        <f t="shared" si="29"/>
        <v>790.03</v>
      </c>
      <c r="M218" s="13">
        <f t="shared" si="29"/>
        <v>241.61699999999999</v>
      </c>
      <c r="N218" s="13">
        <f t="shared" si="29"/>
        <v>12.6219</v>
      </c>
      <c r="O218" s="13">
        <f t="shared" si="29"/>
        <v>1214.194</v>
      </c>
      <c r="P218" s="13">
        <v>150.54</v>
      </c>
    </row>
    <row r="219" spans="1:18" ht="20.100000000000001" customHeight="1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</row>
    <row r="220" spans="1:18" ht="20.100000000000001" customHeight="1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</row>
    <row r="221" spans="1:18" ht="20.100000000000001" customHeight="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</row>
    <row r="222" spans="1:18" ht="20.100000000000001" customHeight="1">
      <c r="A222" s="24"/>
      <c r="B222" s="26" t="s">
        <v>29</v>
      </c>
      <c r="C222" s="26"/>
      <c r="D222" s="26"/>
      <c r="E222" s="24"/>
      <c r="F222" s="24"/>
      <c r="G222" s="24"/>
      <c r="H222" s="24"/>
      <c r="I222" s="24"/>
      <c r="J222" s="15" t="s">
        <v>30</v>
      </c>
      <c r="K222" s="15"/>
      <c r="L222" s="15"/>
      <c r="M222" s="15"/>
      <c r="N222" s="24"/>
      <c r="O222" s="24"/>
      <c r="P222" s="24"/>
    </row>
    <row r="223" spans="1:18" ht="20.100000000000001" customHeight="1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</row>
    <row r="224" spans="1:18" ht="20.100000000000001" customHeight="1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</row>
    <row r="225" spans="1:18" ht="20.100000000000001" customHeight="1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</row>
    <row r="226" spans="1:18" ht="20.100000000000001" customHeight="1">
      <c r="A226" s="27" t="s">
        <v>76</v>
      </c>
      <c r="B226" s="28"/>
      <c r="C226" s="18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</row>
    <row r="227" spans="1:18" ht="37.5" customHeight="1">
      <c r="A227" s="8">
        <v>182</v>
      </c>
      <c r="B227" s="12" t="s">
        <v>111</v>
      </c>
      <c r="C227" s="8">
        <v>200</v>
      </c>
      <c r="D227" s="14">
        <v>6.01</v>
      </c>
      <c r="E227" s="14">
        <v>3.52</v>
      </c>
      <c r="F227" s="14">
        <v>32.25</v>
      </c>
      <c r="G227" s="14">
        <v>0.08</v>
      </c>
      <c r="H227" s="14">
        <v>1.17</v>
      </c>
      <c r="I227" s="14">
        <v>0.18</v>
      </c>
      <c r="J227" s="14">
        <v>0</v>
      </c>
      <c r="K227" s="14">
        <v>131.30000000000001</v>
      </c>
      <c r="L227" s="14">
        <v>115.19</v>
      </c>
      <c r="M227" s="14">
        <v>20.3</v>
      </c>
      <c r="N227" s="14">
        <v>0.47</v>
      </c>
      <c r="O227" s="14">
        <v>185.28</v>
      </c>
      <c r="P227" s="13">
        <v>8.83</v>
      </c>
    </row>
    <row r="228" spans="1:18" ht="26.25" customHeight="1">
      <c r="A228" s="8">
        <v>14</v>
      </c>
      <c r="B228" s="12" t="s">
        <v>92</v>
      </c>
      <c r="C228" s="20">
        <v>10</v>
      </c>
      <c r="D228" s="21">
        <v>0.1</v>
      </c>
      <c r="E228" s="21">
        <v>7.2</v>
      </c>
      <c r="F228" s="21">
        <v>0.13</v>
      </c>
      <c r="G228" s="21">
        <v>0</v>
      </c>
      <c r="H228" s="21">
        <v>0</v>
      </c>
      <c r="I228" s="21">
        <v>0.4</v>
      </c>
      <c r="J228" s="21">
        <v>0.01</v>
      </c>
      <c r="K228" s="21">
        <v>2.4</v>
      </c>
      <c r="L228" s="21">
        <v>3</v>
      </c>
      <c r="M228" s="21">
        <v>0</v>
      </c>
      <c r="N228" s="21">
        <v>0</v>
      </c>
      <c r="O228" s="21">
        <v>65.72</v>
      </c>
      <c r="P228" s="21">
        <v>6.1</v>
      </c>
    </row>
    <row r="229" spans="1:18" ht="20.100000000000001" customHeight="1">
      <c r="A229" s="8">
        <v>15</v>
      </c>
      <c r="B229" s="12" t="s">
        <v>18</v>
      </c>
      <c r="C229" s="8">
        <v>30</v>
      </c>
      <c r="D229" s="13">
        <f>26.28/100*$C229</f>
        <v>7.8840000000000012</v>
      </c>
      <c r="E229" s="13">
        <f>26.6/100*$C229</f>
        <v>7.98</v>
      </c>
      <c r="F229" s="13">
        <f>0/100*$C229</f>
        <v>0</v>
      </c>
      <c r="G229" s="13">
        <f>0.04/100*$C229</f>
        <v>1.2E-2</v>
      </c>
      <c r="H229" s="13">
        <f>0.68/100*$C229</f>
        <v>0.20400000000000001</v>
      </c>
      <c r="I229" s="13">
        <f>2.08/100*$C229</f>
        <v>0.624</v>
      </c>
      <c r="J229" s="13">
        <f>0/100*$C229</f>
        <v>0</v>
      </c>
      <c r="K229" s="13">
        <f>996/100*$C229</f>
        <v>298.8</v>
      </c>
      <c r="L229" s="13">
        <f>599.6/100*$C229</f>
        <v>179.88000000000002</v>
      </c>
      <c r="M229" s="13">
        <f>54.96/100*$C229</f>
        <v>16.488</v>
      </c>
      <c r="N229" s="13">
        <f>0.68/100*$C229</f>
        <v>0.20400000000000001</v>
      </c>
      <c r="O229" s="13">
        <f>343.2/100*$C229</f>
        <v>102.96</v>
      </c>
      <c r="P229" s="13">
        <v>21.44</v>
      </c>
    </row>
    <row r="230" spans="1:18" ht="20.100000000000001" customHeight="1">
      <c r="A230" s="8">
        <v>376</v>
      </c>
      <c r="B230" s="12" t="s">
        <v>44</v>
      </c>
      <c r="C230" s="8">
        <v>200</v>
      </c>
      <c r="D230" s="14">
        <v>7.0000000000000007E-2</v>
      </c>
      <c r="E230" s="13">
        <v>0</v>
      </c>
      <c r="F230" s="13">
        <v>15</v>
      </c>
      <c r="G230" s="13">
        <v>0</v>
      </c>
      <c r="H230" s="13">
        <v>0.27</v>
      </c>
      <c r="I230" s="13">
        <v>0</v>
      </c>
      <c r="J230" s="13">
        <v>0</v>
      </c>
      <c r="K230" s="13">
        <v>13.6</v>
      </c>
      <c r="L230" s="13">
        <v>22.13</v>
      </c>
      <c r="M230" s="13">
        <v>11.73</v>
      </c>
      <c r="N230" s="13">
        <v>2.13</v>
      </c>
      <c r="O230" s="13">
        <v>60</v>
      </c>
      <c r="P230" s="13">
        <v>1.42</v>
      </c>
    </row>
    <row r="231" spans="1:18" ht="20.100000000000001" customHeight="1">
      <c r="A231" s="8" t="s">
        <v>20</v>
      </c>
      <c r="B231" s="12" t="s">
        <v>21</v>
      </c>
      <c r="C231" s="8">
        <v>50</v>
      </c>
      <c r="D231" s="13">
        <f>8/100*$C231</f>
        <v>4</v>
      </c>
      <c r="E231" s="13">
        <f>1.509/100*$C231</f>
        <v>0.75449999999999995</v>
      </c>
      <c r="F231" s="13">
        <f>40.127/100*$C231</f>
        <v>20.063500000000001</v>
      </c>
      <c r="G231" s="13">
        <f>0.072/100*$C231</f>
        <v>3.5999999999999997E-2</v>
      </c>
      <c r="H231" s="13">
        <f>0/100*$C231</f>
        <v>0</v>
      </c>
      <c r="I231" s="13">
        <f>0/100*$C231</f>
        <v>0</v>
      </c>
      <c r="J231" s="13">
        <f>2.36/100*$C231</f>
        <v>1.18</v>
      </c>
      <c r="K231" s="13">
        <f>33/100*$C231</f>
        <v>16.5</v>
      </c>
      <c r="L231" s="13">
        <f>234/100*$C231</f>
        <v>117</v>
      </c>
      <c r="M231" s="13">
        <f>66/100*$C231</f>
        <v>33</v>
      </c>
      <c r="N231" s="13">
        <f>4.4/100*$C231</f>
        <v>2.2000000000000002</v>
      </c>
      <c r="O231" s="13">
        <f>208/100*$C231</f>
        <v>104</v>
      </c>
      <c r="P231" s="13">
        <v>1.65</v>
      </c>
    </row>
    <row r="232" spans="1:18" ht="20.100000000000001" customHeight="1">
      <c r="A232" s="8" t="s">
        <v>20</v>
      </c>
      <c r="B232" s="12" t="s">
        <v>22</v>
      </c>
      <c r="C232" s="8">
        <v>50</v>
      </c>
      <c r="D232" s="13">
        <f>4.9/100*$C232</f>
        <v>2.4500000000000002</v>
      </c>
      <c r="E232" s="13">
        <f>1.1/100*$C232</f>
        <v>0.55000000000000004</v>
      </c>
      <c r="F232" s="13">
        <f>48.9/100*$C232</f>
        <v>24.45</v>
      </c>
      <c r="G232" s="13">
        <f>0.1/100*$C232</f>
        <v>0.05</v>
      </c>
      <c r="H232" s="13">
        <f>0/100*$C232</f>
        <v>0</v>
      </c>
      <c r="I232" s="13">
        <f>0/100*$C232</f>
        <v>0</v>
      </c>
      <c r="J232" s="13">
        <f>0.9/100*$C232</f>
        <v>0.45000000000000007</v>
      </c>
      <c r="K232" s="13">
        <f>23/100*$C232</f>
        <v>11.5</v>
      </c>
      <c r="L232" s="13">
        <f>106/100*$C232</f>
        <v>53</v>
      </c>
      <c r="M232" s="13">
        <f>25/100*$C232</f>
        <v>12.5</v>
      </c>
      <c r="N232" s="13">
        <f>3.1/100*$C232</f>
        <v>1.55</v>
      </c>
      <c r="O232" s="13">
        <f>200/100*$C232</f>
        <v>100</v>
      </c>
      <c r="P232" s="13">
        <v>2</v>
      </c>
    </row>
    <row r="233" spans="1:18" ht="20.100000000000001" customHeight="1">
      <c r="A233" s="8" t="s">
        <v>20</v>
      </c>
      <c r="B233" s="12" t="s">
        <v>105</v>
      </c>
      <c r="C233" s="8">
        <v>50</v>
      </c>
      <c r="D233" s="13">
        <v>4.59</v>
      </c>
      <c r="E233" s="13">
        <v>5.95</v>
      </c>
      <c r="F233" s="13">
        <v>49.6</v>
      </c>
      <c r="G233" s="13">
        <v>0.2</v>
      </c>
      <c r="H233" s="13">
        <v>0</v>
      </c>
      <c r="I233" s="13">
        <v>0</v>
      </c>
      <c r="J233" s="13">
        <v>3</v>
      </c>
      <c r="K233" s="13">
        <v>24.7</v>
      </c>
      <c r="L233" s="13">
        <v>63</v>
      </c>
      <c r="M233" s="13">
        <v>17</v>
      </c>
      <c r="N233" s="13">
        <v>1.8</v>
      </c>
      <c r="O233" s="13">
        <v>169.9</v>
      </c>
      <c r="P233" s="13">
        <v>36.4</v>
      </c>
    </row>
    <row r="234" spans="1:18" ht="20.100000000000001" customHeight="1">
      <c r="A234" s="12"/>
      <c r="B234" s="12" t="s">
        <v>23</v>
      </c>
      <c r="C234" s="12"/>
      <c r="D234" s="13">
        <f t="shared" ref="D234:O234" si="30">SUM(D227:D233)</f>
        <v>25.103999999999999</v>
      </c>
      <c r="E234" s="13">
        <f t="shared" si="30"/>
        <v>25.954500000000003</v>
      </c>
      <c r="F234" s="13">
        <f t="shared" si="30"/>
        <v>141.49350000000001</v>
      </c>
      <c r="G234" s="13">
        <f t="shared" si="30"/>
        <v>0.378</v>
      </c>
      <c r="H234" s="13">
        <f t="shared" si="30"/>
        <v>1.6439999999999999</v>
      </c>
      <c r="I234" s="13">
        <f t="shared" si="30"/>
        <v>1.2040000000000002</v>
      </c>
      <c r="J234" s="13">
        <f t="shared" si="30"/>
        <v>4.6400000000000006</v>
      </c>
      <c r="K234" s="13">
        <f t="shared" si="30"/>
        <v>498.8</v>
      </c>
      <c r="L234" s="13">
        <f t="shared" si="30"/>
        <v>553.20000000000005</v>
      </c>
      <c r="M234" s="13">
        <f t="shared" si="30"/>
        <v>111.018</v>
      </c>
      <c r="N234" s="13">
        <f t="shared" si="30"/>
        <v>8.3539999999999992</v>
      </c>
      <c r="O234" s="13">
        <f t="shared" si="30"/>
        <v>787.86</v>
      </c>
      <c r="P234" s="13">
        <v>77.84</v>
      </c>
    </row>
    <row r="235" spans="1:18" ht="20.100000000000001" customHeight="1">
      <c r="A235" s="29" t="s">
        <v>75</v>
      </c>
      <c r="B235" s="29"/>
      <c r="C235" s="18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</row>
    <row r="236" spans="1:18" ht="34.5" customHeight="1">
      <c r="A236" s="8">
        <v>71</v>
      </c>
      <c r="B236" s="12" t="s">
        <v>95</v>
      </c>
      <c r="C236" s="8">
        <v>80</v>
      </c>
      <c r="D236" s="14">
        <f>0.8/100*$C236</f>
        <v>0.64</v>
      </c>
      <c r="E236" s="14">
        <f>0.1/100*$C236</f>
        <v>0.08</v>
      </c>
      <c r="F236" s="14">
        <f>1.567/100*$C236</f>
        <v>1.2536</v>
      </c>
      <c r="G236" s="14">
        <f>0.0667/100*$C236</f>
        <v>5.3359999999999998E-2</v>
      </c>
      <c r="H236" s="14">
        <f>3.7667/100*$C236</f>
        <v>3.01336</v>
      </c>
      <c r="I236" s="14">
        <f>11.267/100*$C236</f>
        <v>9.0136000000000003</v>
      </c>
      <c r="J236" s="14">
        <f>0.067/100*$C236</f>
        <v>5.3600000000000002E-2</v>
      </c>
      <c r="K236" s="14">
        <f>17.267/100*$C236</f>
        <v>13.813599999999999</v>
      </c>
      <c r="L236" s="14">
        <f>18/100*$C236</f>
        <v>14.399999999999999</v>
      </c>
      <c r="M236" s="14">
        <f>10.5/100*$C236</f>
        <v>8.4</v>
      </c>
      <c r="N236" s="14">
        <f>0.467/100*$C236</f>
        <v>0.37360000000000004</v>
      </c>
      <c r="O236" s="14">
        <f>19.5/100*$C236</f>
        <v>15.600000000000001</v>
      </c>
      <c r="P236" s="13">
        <v>20</v>
      </c>
    </row>
    <row r="237" spans="1:18" ht="34.5" customHeight="1">
      <c r="A237" s="8">
        <v>219</v>
      </c>
      <c r="B237" s="12" t="s">
        <v>112</v>
      </c>
      <c r="C237" s="8">
        <v>250</v>
      </c>
      <c r="D237" s="13">
        <v>7.08</v>
      </c>
      <c r="E237" s="13">
        <v>3.09</v>
      </c>
      <c r="F237" s="13">
        <v>10.86</v>
      </c>
      <c r="G237" s="13">
        <v>0.06</v>
      </c>
      <c r="H237" s="13">
        <v>5.16</v>
      </c>
      <c r="I237" s="13">
        <v>0.14000000000000001</v>
      </c>
      <c r="J237" s="13">
        <v>0.02</v>
      </c>
      <c r="K237" s="13">
        <v>15.64</v>
      </c>
      <c r="L237" s="13">
        <v>121.7</v>
      </c>
      <c r="M237" s="13">
        <v>24.7</v>
      </c>
      <c r="N237" s="13">
        <v>0.8</v>
      </c>
      <c r="O237" s="13">
        <v>111.2</v>
      </c>
      <c r="P237" s="13">
        <v>16.760000000000002</v>
      </c>
    </row>
    <row r="238" spans="1:18" ht="20.100000000000001" customHeight="1">
      <c r="A238" s="8">
        <v>259</v>
      </c>
      <c r="B238" s="12" t="s">
        <v>71</v>
      </c>
      <c r="C238" s="8">
        <v>100</v>
      </c>
      <c r="D238" s="13">
        <f>9.26/100*$C238</f>
        <v>9.26</v>
      </c>
      <c r="E238" s="13">
        <f>10.34/100*$C238</f>
        <v>10.34</v>
      </c>
      <c r="F238" s="13">
        <f>9.47/100*$C238</f>
        <v>9.4700000000000006</v>
      </c>
      <c r="G238" s="13">
        <f>0.18/100*$C238</f>
        <v>0.18</v>
      </c>
      <c r="H238" s="13">
        <f>12.24/100*$C238</f>
        <v>12.24</v>
      </c>
      <c r="I238" s="13">
        <f>0/100*$C238</f>
        <v>0</v>
      </c>
      <c r="J238" s="13">
        <f>0.7/100*$C238</f>
        <v>0.7</v>
      </c>
      <c r="K238" s="13">
        <f>15.8/100*$C238</f>
        <v>15.8</v>
      </c>
      <c r="L238" s="13">
        <f>123.9/100*$C238</f>
        <v>123.9</v>
      </c>
      <c r="M238" s="13">
        <f>24.7/100*$C238</f>
        <v>24.7</v>
      </c>
      <c r="N238" s="13">
        <f>1.94/100*$C238</f>
        <v>1.94</v>
      </c>
      <c r="O238" s="13">
        <f>164.2/100*$C238</f>
        <v>164.2</v>
      </c>
      <c r="P238" s="13">
        <v>27.69</v>
      </c>
    </row>
    <row r="239" spans="1:18" s="1" customFormat="1" ht="21.75" customHeight="1">
      <c r="A239" s="8">
        <v>349</v>
      </c>
      <c r="B239" s="12" t="s">
        <v>37</v>
      </c>
      <c r="C239" s="8">
        <v>200</v>
      </c>
      <c r="D239" s="13">
        <v>0.66</v>
      </c>
      <c r="E239" s="13">
        <v>0.09</v>
      </c>
      <c r="F239" s="13">
        <v>33.340000000000003</v>
      </c>
      <c r="G239" s="13">
        <v>0.01</v>
      </c>
      <c r="H239" s="13">
        <v>0.6</v>
      </c>
      <c r="I239" s="13">
        <v>0</v>
      </c>
      <c r="J239" s="13">
        <v>0.12</v>
      </c>
      <c r="K239" s="13">
        <v>67.2</v>
      </c>
      <c r="L239" s="13">
        <v>23.1</v>
      </c>
      <c r="M239" s="13">
        <v>9</v>
      </c>
      <c r="N239" s="13">
        <v>1.86</v>
      </c>
      <c r="O239" s="13">
        <v>140</v>
      </c>
      <c r="P239" s="23">
        <v>3.47</v>
      </c>
      <c r="Q239" s="4"/>
      <c r="R239" s="2"/>
    </row>
    <row r="240" spans="1:18" ht="20.100000000000001" customHeight="1">
      <c r="A240" s="8" t="s">
        <v>20</v>
      </c>
      <c r="B240" s="12" t="s">
        <v>21</v>
      </c>
      <c r="C240" s="8">
        <v>60</v>
      </c>
      <c r="D240" s="13">
        <f>8/100*$C240</f>
        <v>4.8</v>
      </c>
      <c r="E240" s="13">
        <f>1.509/100*$C240</f>
        <v>0.90539999999999998</v>
      </c>
      <c r="F240" s="13">
        <f>40.127/100*$C240</f>
        <v>24.0762</v>
      </c>
      <c r="G240" s="13">
        <f>0.072/100*$C240</f>
        <v>4.3199999999999995E-2</v>
      </c>
      <c r="H240" s="13">
        <f>0/100*$C240</f>
        <v>0</v>
      </c>
      <c r="I240" s="13">
        <f>0/100*$C240</f>
        <v>0</v>
      </c>
      <c r="J240" s="13">
        <f>2.36/100*$C240</f>
        <v>1.4159999999999999</v>
      </c>
      <c r="K240" s="13">
        <f>33/100*$C240</f>
        <v>19.8</v>
      </c>
      <c r="L240" s="13">
        <f>234/100*$C240</f>
        <v>140.39999999999998</v>
      </c>
      <c r="M240" s="13">
        <f>66/100*$C240</f>
        <v>39.6</v>
      </c>
      <c r="N240" s="13">
        <f>4.4/100*$C240</f>
        <v>2.64</v>
      </c>
      <c r="O240" s="13">
        <f>208/100*$C240</f>
        <v>124.80000000000001</v>
      </c>
      <c r="P240" s="13">
        <v>1.98</v>
      </c>
    </row>
    <row r="241" spans="1:16" ht="20.100000000000001" customHeight="1">
      <c r="A241" s="8" t="s">
        <v>20</v>
      </c>
      <c r="B241" s="12" t="s">
        <v>22</v>
      </c>
      <c r="C241" s="8">
        <v>70</v>
      </c>
      <c r="D241" s="13">
        <f>4.9/100*$C241</f>
        <v>3.43</v>
      </c>
      <c r="E241" s="13">
        <f>1.1/100*$C241</f>
        <v>0.77000000000000013</v>
      </c>
      <c r="F241" s="13">
        <f>48.9/100*$C241</f>
        <v>34.229999999999997</v>
      </c>
      <c r="G241" s="13">
        <f>0.1/100*$C241</f>
        <v>7.0000000000000007E-2</v>
      </c>
      <c r="H241" s="13">
        <f>0/100*$C241</f>
        <v>0</v>
      </c>
      <c r="I241" s="13">
        <f>0/100*$C241</f>
        <v>0</v>
      </c>
      <c r="J241" s="13">
        <f>0.9/100*$C241</f>
        <v>0.63000000000000012</v>
      </c>
      <c r="K241" s="13">
        <f>23/100*$C241</f>
        <v>16.100000000000001</v>
      </c>
      <c r="L241" s="13">
        <f>106/100*$C241</f>
        <v>74.2</v>
      </c>
      <c r="M241" s="13">
        <f>25/100*$C241</f>
        <v>17.5</v>
      </c>
      <c r="N241" s="13">
        <f>3.1/100*$C241</f>
        <v>2.17</v>
      </c>
      <c r="O241" s="13">
        <f>200/100*$C241</f>
        <v>140</v>
      </c>
      <c r="P241" s="13">
        <v>2.8</v>
      </c>
    </row>
    <row r="242" spans="1:16" ht="20.100000000000001" customHeight="1">
      <c r="A242" s="12"/>
      <c r="B242" s="12" t="s">
        <v>27</v>
      </c>
      <c r="C242" s="12"/>
      <c r="D242" s="13">
        <f t="shared" ref="D242:O242" si="31">SUM(D236:D241)</f>
        <v>25.87</v>
      </c>
      <c r="E242" s="13">
        <f t="shared" si="31"/>
        <v>15.275399999999999</v>
      </c>
      <c r="F242" s="13">
        <f t="shared" si="31"/>
        <v>113.22980000000001</v>
      </c>
      <c r="G242" s="13">
        <f t="shared" si="31"/>
        <v>0.41655999999999999</v>
      </c>
      <c r="H242" s="13">
        <f t="shared" si="31"/>
        <v>21.013360000000002</v>
      </c>
      <c r="I242" s="13">
        <f t="shared" si="31"/>
        <v>9.1536000000000008</v>
      </c>
      <c r="J242" s="13">
        <f t="shared" si="31"/>
        <v>2.9395999999999995</v>
      </c>
      <c r="K242" s="13">
        <f t="shared" si="31"/>
        <v>148.3536</v>
      </c>
      <c r="L242" s="13">
        <f t="shared" si="31"/>
        <v>497.7</v>
      </c>
      <c r="M242" s="13">
        <f t="shared" si="31"/>
        <v>123.9</v>
      </c>
      <c r="N242" s="13">
        <f t="shared" si="31"/>
        <v>9.7835999999999999</v>
      </c>
      <c r="O242" s="13">
        <f t="shared" si="31"/>
        <v>695.8</v>
      </c>
      <c r="P242" s="13">
        <v>72.7</v>
      </c>
    </row>
    <row r="243" spans="1:16" ht="20.100000000000001" customHeight="1">
      <c r="A243" s="12"/>
      <c r="B243" s="12" t="s">
        <v>28</v>
      </c>
      <c r="C243" s="12"/>
      <c r="D243" s="13">
        <f t="shared" ref="D243:O243" si="32">SUM(D234,D242)</f>
        <v>50.974000000000004</v>
      </c>
      <c r="E243" s="13">
        <f t="shared" si="32"/>
        <v>41.229900000000001</v>
      </c>
      <c r="F243" s="13">
        <f t="shared" si="32"/>
        <v>254.72330000000002</v>
      </c>
      <c r="G243" s="13">
        <f t="shared" si="32"/>
        <v>0.79455999999999993</v>
      </c>
      <c r="H243" s="13">
        <f t="shared" si="32"/>
        <v>22.657360000000001</v>
      </c>
      <c r="I243" s="13">
        <f t="shared" si="32"/>
        <v>10.357600000000001</v>
      </c>
      <c r="J243" s="13">
        <f t="shared" si="32"/>
        <v>7.5796000000000001</v>
      </c>
      <c r="K243" s="13">
        <f t="shared" si="32"/>
        <v>647.15359999999998</v>
      </c>
      <c r="L243" s="13">
        <f t="shared" si="32"/>
        <v>1050.9000000000001</v>
      </c>
      <c r="M243" s="13">
        <f t="shared" si="32"/>
        <v>234.91800000000001</v>
      </c>
      <c r="N243" s="13">
        <f t="shared" si="32"/>
        <v>18.137599999999999</v>
      </c>
      <c r="O243" s="13">
        <f t="shared" si="32"/>
        <v>1483.6599999999999</v>
      </c>
      <c r="P243" s="13">
        <v>150.54</v>
      </c>
    </row>
    <row r="244" spans="1:16" ht="15.75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</row>
    <row r="245" spans="1:16" ht="15.7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</row>
    <row r="246" spans="1:16" ht="15.75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</row>
    <row r="247" spans="1:16" ht="15.75">
      <c r="A247" s="24"/>
      <c r="B247" s="26" t="s">
        <v>29</v>
      </c>
      <c r="C247" s="26"/>
      <c r="D247" s="26"/>
      <c r="E247" s="24"/>
      <c r="F247" s="24"/>
      <c r="G247" s="24"/>
      <c r="H247" s="24"/>
      <c r="I247" s="24"/>
      <c r="J247" s="15" t="s">
        <v>30</v>
      </c>
      <c r="K247" s="15"/>
      <c r="L247" s="15"/>
      <c r="M247" s="15"/>
      <c r="N247" s="24"/>
      <c r="O247" s="24"/>
      <c r="P247" s="24"/>
    </row>
    <row r="248" spans="1:16" ht="15.7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</row>
  </sheetData>
  <mergeCells count="54">
    <mergeCell ref="F25:F26"/>
    <mergeCell ref="O4:O5"/>
    <mergeCell ref="P4:P5"/>
    <mergeCell ref="A6:B6"/>
    <mergeCell ref="A15:B15"/>
    <mergeCell ref="A4:A5"/>
    <mergeCell ref="B4:B5"/>
    <mergeCell ref="C4:C5"/>
    <mergeCell ref="D4:F4"/>
    <mergeCell ref="G4:J4"/>
    <mergeCell ref="K4:N4"/>
    <mergeCell ref="A64:B64"/>
    <mergeCell ref="M25:M26"/>
    <mergeCell ref="N25:N26"/>
    <mergeCell ref="O25:O26"/>
    <mergeCell ref="P25:P26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B29:D29"/>
    <mergeCell ref="A33:B33"/>
    <mergeCell ref="A41:B41"/>
    <mergeCell ref="B53:D53"/>
    <mergeCell ref="A57:B57"/>
    <mergeCell ref="A161:B161"/>
    <mergeCell ref="B76:D76"/>
    <mergeCell ref="A80:B80"/>
    <mergeCell ref="A88:B88"/>
    <mergeCell ref="B101:D101"/>
    <mergeCell ref="A105:B105"/>
    <mergeCell ref="A113:B113"/>
    <mergeCell ref="B124:D124"/>
    <mergeCell ref="A128:B128"/>
    <mergeCell ref="A136:B136"/>
    <mergeCell ref="B148:D148"/>
    <mergeCell ref="A152:B152"/>
    <mergeCell ref="B222:D222"/>
    <mergeCell ref="A226:B226"/>
    <mergeCell ref="A235:B235"/>
    <mergeCell ref="B247:D247"/>
    <mergeCell ref="B175:D175"/>
    <mergeCell ref="A178:B178"/>
    <mergeCell ref="A185:B185"/>
    <mergeCell ref="B198:D198"/>
    <mergeCell ref="A202:B202"/>
    <mergeCell ref="A209:B209"/>
  </mergeCells>
  <pageMargins left="0.70866141732283472" right="0.70866141732283472" top="0.74803149606299213" bottom="0.74803149606299213" header="0.31496062992125984" footer="0.31496062992125984"/>
  <pageSetup paperSize="9" scale="67" orientation="landscape" horizontalDpi="180" verticalDpi="180" r:id="rId1"/>
  <rowBreaks count="9" manualBreakCount="9">
    <brk id="31" max="16383" man="1"/>
    <brk id="55" max="16383" man="1"/>
    <brk id="78" max="16383" man="1"/>
    <brk id="103" max="16383" man="1"/>
    <brk id="126" max="16383" man="1"/>
    <brk id="150" max="16383" man="1"/>
    <brk id="176" max="16383" man="1"/>
    <brk id="200" max="16383" man="1"/>
    <brk id="2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2019-06-19T07:18:39Z</dcterms:modified>
</cp:coreProperties>
</file>